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TALINA\Documents\"/>
    </mc:Choice>
  </mc:AlternateContent>
  <bookViews>
    <workbookView xWindow="0" yWindow="0" windowWidth="20490" windowHeight="7755" activeTab="2"/>
  </bookViews>
  <sheets>
    <sheet name="nomina" sheetId="2" r:id="rId1"/>
    <sheet name="TRABAJADOR" sheetId="5" r:id="rId2"/>
    <sheet name="EMPLEADOR" sheetId="8" r:id="rId3"/>
  </sheets>
  <definedNames>
    <definedName name="DT" localSheetId="2">EMPLEADOR!$M$3</definedName>
    <definedName name="DT">TRABAJADOR!$M$3</definedName>
    <definedName name="EDe" localSheetId="2">EMPLEADOR!#REF!</definedName>
    <definedName name="EDe">TRABAJADOR!#REF!</definedName>
    <definedName name="EPS" localSheetId="2">EMPLEADOR!$AD$3</definedName>
    <definedName name="EPS">TRABAJADOR!$AC$3</definedName>
    <definedName name="N_HED" localSheetId="2">EMPLEADOR!$AC$3</definedName>
    <definedName name="N_HED">TRABAJADOR!$AB$3</definedName>
    <definedName name="N_HEFD" localSheetId="2">EMPLEADOR!$W$3</definedName>
    <definedName name="N_HEFD">TRABAJADOR!$V$3</definedName>
    <definedName name="Pe" localSheetId="2">EMPLEADOR!$AE$3</definedName>
    <definedName name="Pe">TRABAJADOR!$AD$3</definedName>
    <definedName name="S" localSheetId="2">EMPLEADOR!$K$3:$K$14</definedName>
    <definedName name="S">TRABAJADOR!$K$3:$K$14</definedName>
    <definedName name="SBA" localSheetId="2">EMPLEADOR!$V$3</definedName>
    <definedName name="SBA">TRABAJADOR!$U$3</definedName>
    <definedName name="SD" localSheetId="2">EMPLEADOR!$S$3</definedName>
    <definedName name="SD">TRABAJADOR!$R$3</definedName>
    <definedName name="Sde" localSheetId="2">EMPLEADOR!$S$3</definedName>
    <definedName name="Sde">TRABAJADOR!$R$3</definedName>
    <definedName name="SMMLV" localSheetId="2">EMPLEADOR!$J$3:$J$14</definedName>
    <definedName name="SMMLV">TRABAJADOR!$J$3:$J$14</definedName>
    <definedName name="SMMLVD" localSheetId="2">EMPLEADOR!$L$3</definedName>
    <definedName name="SMMLVD">TRABAJADOR!$L$3</definedName>
    <definedName name="SuT" localSheetId="2">EMPLEADOR!$O$3</definedName>
    <definedName name="SuT">TRABAJADOR!$O$3</definedName>
    <definedName name="SuTD" localSheetId="2">EMPLEADOR!$P$3</definedName>
    <definedName name="SuTD">TRABAJADOR!$P$3</definedName>
    <definedName name="TDe" localSheetId="2">EMPLEADOR!#REF!</definedName>
    <definedName name="TDe">TRABAJADOR!#REF!</definedName>
    <definedName name="VHED" localSheetId="2">EMPLEADOR!$C$3</definedName>
    <definedName name="VHED">TRABAJADOR!$C$3</definedName>
    <definedName name="VHEFD" localSheetId="2">EMPLEADOR!$E$3</definedName>
    <definedName name="VHEFD">TRABAJADOR!$E$3</definedName>
    <definedName name="VHEFN" localSheetId="2">EMPLEADOR!$F$3</definedName>
    <definedName name="VHEFN">TRABAJADOR!$F$3</definedName>
    <definedName name="VHEN" localSheetId="2">EMPLEADOR!$D$3</definedName>
    <definedName name="VHEN">TRABAJADOR!$D$3</definedName>
    <definedName name="VHN" localSheetId="2">EMPLEADOR!$B$3</definedName>
    <definedName name="VHN">TRABAJADOR!$B$3</definedName>
    <definedName name="VHRFD" localSheetId="2">EMPLEADOR!$H$3</definedName>
    <definedName name="VHRFD">TRABAJADOR!$H$3</definedName>
    <definedName name="VHRFN" localSheetId="2">EMPLEADOR!$I$3</definedName>
    <definedName name="VHRFN">TRABAJADOR!$I$3</definedName>
    <definedName name="VHRN" localSheetId="2">EMPLEADOR!$G$3</definedName>
    <definedName name="VHRN">TRABAJADOR!$G$3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8" l="1"/>
  <c r="Q10" i="8"/>
  <c r="Q11" i="8"/>
  <c r="Q12" i="8"/>
  <c r="Q13" i="8"/>
  <c r="Q14" i="8"/>
  <c r="Q15" i="8"/>
  <c r="Q8" i="8"/>
  <c r="AF9" i="8" l="1"/>
  <c r="AF10" i="8"/>
  <c r="AF11" i="8"/>
  <c r="AF12" i="8"/>
  <c r="AF13" i="8"/>
  <c r="AF14" i="8"/>
  <c r="AO8" i="8" l="1"/>
  <c r="AH15" i="8"/>
  <c r="N8" i="8"/>
  <c r="R8" i="8" s="1"/>
  <c r="R9" i="8"/>
  <c r="R11" i="8"/>
  <c r="N13" i="8"/>
  <c r="R13" i="8" s="1"/>
  <c r="N14" i="8"/>
  <c r="R14" i="8" s="1"/>
  <c r="L8" i="8"/>
  <c r="R12" i="8"/>
  <c r="R15" i="8"/>
  <c r="N8" i="5"/>
  <c r="N13" i="5"/>
  <c r="N14" i="5"/>
  <c r="L8" i="5"/>
  <c r="S15" i="8" l="1"/>
  <c r="T15" i="8"/>
  <c r="B15" i="8"/>
  <c r="G15" i="8" s="1"/>
  <c r="S14" i="8"/>
  <c r="P14" i="8"/>
  <c r="T14" i="8" s="1"/>
  <c r="B14" i="8"/>
  <c r="I14" i="8" s="1"/>
  <c r="S13" i="8"/>
  <c r="P13" i="8"/>
  <c r="T13" i="8" s="1"/>
  <c r="B13" i="8"/>
  <c r="I13" i="8" s="1"/>
  <c r="S12" i="8"/>
  <c r="P12" i="8"/>
  <c r="T12" i="8" s="1"/>
  <c r="B12" i="8"/>
  <c r="I12" i="8" s="1"/>
  <c r="S11" i="8"/>
  <c r="P11" i="8"/>
  <c r="T11" i="8" s="1"/>
  <c r="E11" i="8"/>
  <c r="F11" i="8" s="1"/>
  <c r="D11" i="8"/>
  <c r="B11" i="8"/>
  <c r="G11" i="8" s="1"/>
  <c r="S10" i="8"/>
  <c r="P10" i="8"/>
  <c r="B10" i="8"/>
  <c r="I10" i="8" s="1"/>
  <c r="S9" i="8"/>
  <c r="P9" i="8"/>
  <c r="T9" i="8" s="1"/>
  <c r="B9" i="8"/>
  <c r="I9" i="8" s="1"/>
  <c r="S8" i="8"/>
  <c r="P8" i="8"/>
  <c r="T8" i="8" s="1"/>
  <c r="AJ8" i="8" s="1"/>
  <c r="B8" i="8"/>
  <c r="I8" i="8" s="1"/>
  <c r="N7" i="8"/>
  <c r="AO7" i="8" s="1"/>
  <c r="L7" i="8"/>
  <c r="S7" i="8" s="1"/>
  <c r="B7" i="8"/>
  <c r="I7" i="8" s="1"/>
  <c r="N6" i="8"/>
  <c r="AO6" i="8" s="1"/>
  <c r="L6" i="8"/>
  <c r="S6" i="8" s="1"/>
  <c r="N5" i="8"/>
  <c r="AO5" i="8" s="1"/>
  <c r="L5" i="8"/>
  <c r="S5" i="8" s="1"/>
  <c r="N4" i="8"/>
  <c r="AO4" i="8" s="1"/>
  <c r="L4" i="8"/>
  <c r="B4" i="8" s="1"/>
  <c r="N3" i="8"/>
  <c r="L3" i="8"/>
  <c r="S3" i="8" s="1"/>
  <c r="L7" i="5"/>
  <c r="B7" i="5" s="1"/>
  <c r="C7" i="5" s="1"/>
  <c r="L4" i="5"/>
  <c r="B4" i="5" s="1"/>
  <c r="L5" i="5"/>
  <c r="R5" i="5" s="1"/>
  <c r="L6" i="5"/>
  <c r="R6" i="5" s="1"/>
  <c r="L3" i="5"/>
  <c r="R3" i="5" s="1"/>
  <c r="R7" i="5"/>
  <c r="R8" i="5"/>
  <c r="R9" i="5"/>
  <c r="R10" i="5"/>
  <c r="R11" i="5"/>
  <c r="R12" i="5"/>
  <c r="R13" i="5"/>
  <c r="R14" i="5"/>
  <c r="R15" i="5"/>
  <c r="P8" i="5"/>
  <c r="S8" i="5" s="1"/>
  <c r="P9" i="5"/>
  <c r="S9" i="5" s="1"/>
  <c r="P10" i="5"/>
  <c r="S10" i="5" s="1"/>
  <c r="P11" i="5"/>
  <c r="S11" i="5" s="1"/>
  <c r="P12" i="5"/>
  <c r="S12" i="5" s="1"/>
  <c r="P13" i="5"/>
  <c r="S13" i="5" s="1"/>
  <c r="P14" i="5"/>
  <c r="S14" i="5" s="1"/>
  <c r="P15" i="5"/>
  <c r="S15" i="5" s="1"/>
  <c r="B5" i="5"/>
  <c r="I5" i="5" s="1"/>
  <c r="B8" i="5"/>
  <c r="C8" i="5" s="1"/>
  <c r="B9" i="5"/>
  <c r="I9" i="5" s="1"/>
  <c r="B10" i="5"/>
  <c r="I10" i="5" s="1"/>
  <c r="B11" i="5"/>
  <c r="C11" i="5" s="1"/>
  <c r="B12" i="5"/>
  <c r="I12" i="5" s="1"/>
  <c r="B13" i="5"/>
  <c r="I13" i="5" s="1"/>
  <c r="B14" i="5"/>
  <c r="C14" i="5" s="1"/>
  <c r="B15" i="5"/>
  <c r="C15" i="5" s="1"/>
  <c r="N7" i="5"/>
  <c r="P7" i="5" s="1"/>
  <c r="S7" i="5" s="1"/>
  <c r="N4" i="5"/>
  <c r="P4" i="5" s="1"/>
  <c r="S4" i="5" s="1"/>
  <c r="N5" i="5"/>
  <c r="P5" i="5" s="1"/>
  <c r="S5" i="5" s="1"/>
  <c r="N6" i="5"/>
  <c r="P6" i="5" s="1"/>
  <c r="S6" i="5" s="1"/>
  <c r="N3" i="5"/>
  <c r="P3" i="5" s="1"/>
  <c r="S3" i="5" s="1"/>
  <c r="I15" i="8" l="1"/>
  <c r="V15" i="8" s="1"/>
  <c r="U15" i="8" s="1"/>
  <c r="E9" i="8"/>
  <c r="F9" i="8" s="1"/>
  <c r="C11" i="8"/>
  <c r="E15" i="8"/>
  <c r="F15" i="8" s="1"/>
  <c r="E13" i="8"/>
  <c r="F13" i="8" s="1"/>
  <c r="C15" i="8"/>
  <c r="I11" i="8"/>
  <c r="D15" i="8"/>
  <c r="P3" i="8"/>
  <c r="T3" i="8" s="1"/>
  <c r="R3" i="8"/>
  <c r="P5" i="8"/>
  <c r="T5" i="8" s="1"/>
  <c r="AJ5" i="8" s="1"/>
  <c r="R5" i="8"/>
  <c r="P7" i="8"/>
  <c r="T7" i="8" s="1"/>
  <c r="AJ7" i="8" s="1"/>
  <c r="R7" i="8"/>
  <c r="P4" i="8"/>
  <c r="T4" i="8" s="1"/>
  <c r="AJ4" i="8" s="1"/>
  <c r="R4" i="8"/>
  <c r="P6" i="8"/>
  <c r="T6" i="8" s="1"/>
  <c r="AJ6" i="8" s="1"/>
  <c r="R6" i="8"/>
  <c r="H11" i="8"/>
  <c r="H15" i="8"/>
  <c r="G9" i="8"/>
  <c r="V11" i="8"/>
  <c r="U11" i="8" s="1"/>
  <c r="G13" i="8"/>
  <c r="S4" i="8"/>
  <c r="B6" i="8"/>
  <c r="H6" i="8" s="1"/>
  <c r="C9" i="8"/>
  <c r="H9" i="8"/>
  <c r="C13" i="8"/>
  <c r="H13" i="8"/>
  <c r="B5" i="8"/>
  <c r="G5" i="8" s="1"/>
  <c r="D9" i="8"/>
  <c r="D13" i="8"/>
  <c r="D5" i="8"/>
  <c r="H4" i="8"/>
  <c r="D4" i="8"/>
  <c r="G4" i="8"/>
  <c r="H8" i="8"/>
  <c r="D8" i="8"/>
  <c r="G8" i="8"/>
  <c r="C8" i="8"/>
  <c r="H10" i="8"/>
  <c r="D10" i="8"/>
  <c r="G10" i="8"/>
  <c r="C10" i="8"/>
  <c r="H12" i="8"/>
  <c r="D12" i="8"/>
  <c r="G12" i="8"/>
  <c r="C12" i="8"/>
  <c r="H14" i="8"/>
  <c r="D14" i="8"/>
  <c r="G14" i="8"/>
  <c r="C14" i="8"/>
  <c r="B3" i="8"/>
  <c r="C4" i="8"/>
  <c r="I4" i="8"/>
  <c r="H7" i="8"/>
  <c r="D7" i="8"/>
  <c r="G7" i="8"/>
  <c r="C7" i="8"/>
  <c r="E8" i="8"/>
  <c r="F8" i="8" s="1"/>
  <c r="E10" i="8"/>
  <c r="F10" i="8" s="1"/>
  <c r="E12" i="8"/>
  <c r="F12" i="8" s="1"/>
  <c r="E14" i="8"/>
  <c r="F14" i="8" s="1"/>
  <c r="E4" i="8"/>
  <c r="F4" i="8" s="1"/>
  <c r="E7" i="8"/>
  <c r="F7" i="8" s="1"/>
  <c r="C12" i="5"/>
  <c r="C9" i="5"/>
  <c r="B6" i="5"/>
  <c r="C6" i="5" s="1"/>
  <c r="C4" i="5"/>
  <c r="I4" i="5"/>
  <c r="E4" i="5"/>
  <c r="F4" i="5" s="1"/>
  <c r="H4" i="5"/>
  <c r="D4" i="5"/>
  <c r="G4" i="5"/>
  <c r="R4" i="5"/>
  <c r="C10" i="5"/>
  <c r="C13" i="5"/>
  <c r="D15" i="5"/>
  <c r="D11" i="5"/>
  <c r="D7" i="5"/>
  <c r="E15" i="5"/>
  <c r="F15" i="5" s="1"/>
  <c r="E11" i="5"/>
  <c r="F11" i="5" s="1"/>
  <c r="E7" i="5"/>
  <c r="F7" i="5" s="1"/>
  <c r="G15" i="5"/>
  <c r="G11" i="5"/>
  <c r="G7" i="5"/>
  <c r="H15" i="5"/>
  <c r="H11" i="5"/>
  <c r="H7" i="5"/>
  <c r="I15" i="5"/>
  <c r="I11" i="5"/>
  <c r="I7" i="5"/>
  <c r="C5" i="5"/>
  <c r="D14" i="5"/>
  <c r="D10" i="5"/>
  <c r="D6" i="5"/>
  <c r="E14" i="5"/>
  <c r="F14" i="5" s="1"/>
  <c r="E10" i="5"/>
  <c r="F10" i="5" s="1"/>
  <c r="G14" i="5"/>
  <c r="G10" i="5"/>
  <c r="H14" i="5"/>
  <c r="H10" i="5"/>
  <c r="I14" i="5"/>
  <c r="D13" i="5"/>
  <c r="D9" i="5"/>
  <c r="D5" i="5"/>
  <c r="E13" i="5"/>
  <c r="F13" i="5" s="1"/>
  <c r="E9" i="5"/>
  <c r="F9" i="5" s="1"/>
  <c r="E5" i="5"/>
  <c r="F5" i="5" s="1"/>
  <c r="G13" i="5"/>
  <c r="G9" i="5"/>
  <c r="G5" i="5"/>
  <c r="H13" i="5"/>
  <c r="H9" i="5"/>
  <c r="H5" i="5"/>
  <c r="D12" i="5"/>
  <c r="D8" i="5"/>
  <c r="E12" i="5"/>
  <c r="F12" i="5" s="1"/>
  <c r="E8" i="5"/>
  <c r="F8" i="5" s="1"/>
  <c r="G12" i="5"/>
  <c r="G8" i="5"/>
  <c r="H12" i="5"/>
  <c r="H8" i="5"/>
  <c r="I8" i="5"/>
  <c r="B3" i="5"/>
  <c r="D3" i="5" s="1"/>
  <c r="T4" i="2"/>
  <c r="R4" i="2"/>
  <c r="U9" i="5" l="1"/>
  <c r="T9" i="5" s="1"/>
  <c r="U4" i="5"/>
  <c r="Q9" i="5"/>
  <c r="AF9" i="5" s="1"/>
  <c r="AD9" i="5"/>
  <c r="AC9" i="5"/>
  <c r="AI11" i="8"/>
  <c r="AH11" i="8" s="1"/>
  <c r="AK11" i="8"/>
  <c r="AI15" i="8"/>
  <c r="AK15" i="8"/>
  <c r="C6" i="8"/>
  <c r="AE11" i="8"/>
  <c r="AD11" i="8"/>
  <c r="I5" i="8"/>
  <c r="V7" i="8"/>
  <c r="U7" i="8" s="1"/>
  <c r="H5" i="8"/>
  <c r="E6" i="8"/>
  <c r="F6" i="8" s="1"/>
  <c r="I6" i="8"/>
  <c r="G6" i="8"/>
  <c r="E5" i="8"/>
  <c r="F5" i="8" s="1"/>
  <c r="AE15" i="8"/>
  <c r="AD15" i="8"/>
  <c r="C5" i="8"/>
  <c r="V13" i="8"/>
  <c r="U13" i="8" s="1"/>
  <c r="D6" i="8"/>
  <c r="V9" i="8"/>
  <c r="V14" i="8"/>
  <c r="U14" i="8" s="1"/>
  <c r="V12" i="8"/>
  <c r="U12" i="8" s="1"/>
  <c r="V10" i="8"/>
  <c r="U10" i="8" s="1"/>
  <c r="V8" i="8"/>
  <c r="U8" i="8" s="1"/>
  <c r="H3" i="8"/>
  <c r="D3" i="8"/>
  <c r="I3" i="8"/>
  <c r="C3" i="8"/>
  <c r="G3" i="8"/>
  <c r="F3" i="8"/>
  <c r="E3" i="8"/>
  <c r="V4" i="8"/>
  <c r="U4" i="8" s="1"/>
  <c r="U8" i="5"/>
  <c r="T8" i="5" s="1"/>
  <c r="U12" i="5"/>
  <c r="T12" i="5" s="1"/>
  <c r="U13" i="5"/>
  <c r="T13" i="5" s="1"/>
  <c r="U7" i="5"/>
  <c r="T7" i="5" s="1"/>
  <c r="U10" i="5"/>
  <c r="T10" i="5" s="1"/>
  <c r="U11" i="5"/>
  <c r="T11" i="5" s="1"/>
  <c r="T4" i="5"/>
  <c r="U5" i="5"/>
  <c r="T5" i="5" s="1"/>
  <c r="U14" i="5"/>
  <c r="T14" i="5" s="1"/>
  <c r="U15" i="5"/>
  <c r="T15" i="5" s="1"/>
  <c r="H6" i="5"/>
  <c r="I3" i="5"/>
  <c r="I6" i="5"/>
  <c r="E6" i="5"/>
  <c r="F6" i="5" s="1"/>
  <c r="E3" i="5"/>
  <c r="G6" i="5"/>
  <c r="F3" i="5"/>
  <c r="G3" i="5"/>
  <c r="C3" i="5"/>
  <c r="H3" i="5"/>
  <c r="D4" i="2"/>
  <c r="M4" i="2" s="1"/>
  <c r="J4" i="2"/>
  <c r="K4" i="2"/>
  <c r="L4" i="2"/>
  <c r="F4" i="2"/>
  <c r="AE9" i="5" l="1"/>
  <c r="Q14" i="5"/>
  <c r="AD14" i="5"/>
  <c r="AC14" i="5"/>
  <c r="AE14" i="5" s="1"/>
  <c r="Q10" i="5"/>
  <c r="AD10" i="5"/>
  <c r="AC10" i="5"/>
  <c r="AH8" i="5"/>
  <c r="AG8" i="5"/>
  <c r="Q5" i="5"/>
  <c r="AG5" i="5"/>
  <c r="AH5" i="5"/>
  <c r="AD5" i="5"/>
  <c r="AE5" i="5" s="1"/>
  <c r="AC5" i="5"/>
  <c r="AH7" i="5"/>
  <c r="AG7" i="5"/>
  <c r="AH4" i="5"/>
  <c r="AG4" i="5"/>
  <c r="Q13" i="5"/>
  <c r="AD13" i="5"/>
  <c r="AC13" i="5"/>
  <c r="Q15" i="5"/>
  <c r="AD15" i="5"/>
  <c r="AC15" i="5"/>
  <c r="AE15" i="5" s="1"/>
  <c r="Q11" i="5"/>
  <c r="AF11" i="5" s="1"/>
  <c r="AD11" i="5"/>
  <c r="AC11" i="5"/>
  <c r="Q12" i="5"/>
  <c r="AF12" i="5" s="1"/>
  <c r="AC12" i="5"/>
  <c r="AD12" i="5"/>
  <c r="AK13" i="8"/>
  <c r="AI13" i="8"/>
  <c r="AH13" i="8" s="1"/>
  <c r="AK14" i="8"/>
  <c r="AI14" i="8"/>
  <c r="AH14" i="8" s="1"/>
  <c r="Q7" i="8"/>
  <c r="AG7" i="8" s="1"/>
  <c r="V6" i="8"/>
  <c r="U6" i="8" s="1"/>
  <c r="AI12" i="8"/>
  <c r="AH12" i="8" s="1"/>
  <c r="AK12" i="8"/>
  <c r="AN4" i="8"/>
  <c r="AM4" i="8"/>
  <c r="AL4" i="8"/>
  <c r="U9" i="8"/>
  <c r="V5" i="8"/>
  <c r="U5" i="8" s="1"/>
  <c r="AI8" i="8"/>
  <c r="AH8" i="8" s="1"/>
  <c r="AN8" i="8"/>
  <c r="AM8" i="8"/>
  <c r="AL8" i="8"/>
  <c r="AL5" i="8"/>
  <c r="AN5" i="8"/>
  <c r="AM5" i="8"/>
  <c r="AM6" i="8"/>
  <c r="AL6" i="8"/>
  <c r="AN6" i="8"/>
  <c r="AN7" i="8"/>
  <c r="AM7" i="8"/>
  <c r="AL7" i="8"/>
  <c r="AK4" i="8"/>
  <c r="AI4" i="8"/>
  <c r="AH4" i="8" s="1"/>
  <c r="AE4" i="8"/>
  <c r="AD4" i="8"/>
  <c r="AK6" i="8"/>
  <c r="AI6" i="8"/>
  <c r="AH6" i="8" s="1"/>
  <c r="AD6" i="8"/>
  <c r="AE6" i="8"/>
  <c r="AE12" i="8"/>
  <c r="AD12" i="8"/>
  <c r="AE13" i="8"/>
  <c r="AD13" i="8"/>
  <c r="V3" i="8"/>
  <c r="AD14" i="8"/>
  <c r="AE14" i="8"/>
  <c r="AI7" i="8"/>
  <c r="AH7" i="8" s="1"/>
  <c r="AK7" i="8"/>
  <c r="AE7" i="8"/>
  <c r="AD7" i="8"/>
  <c r="AI5" i="8"/>
  <c r="AH5" i="8" s="1"/>
  <c r="AK5" i="8"/>
  <c r="AE5" i="8"/>
  <c r="AD5" i="8"/>
  <c r="AK8" i="8"/>
  <c r="AE8" i="8"/>
  <c r="AD8" i="8"/>
  <c r="AD9" i="8"/>
  <c r="AD10" i="8"/>
  <c r="AE10" i="8"/>
  <c r="AF15" i="5"/>
  <c r="AE11" i="5"/>
  <c r="AF14" i="5"/>
  <c r="AF10" i="5"/>
  <c r="AF13" i="5"/>
  <c r="Q8" i="5"/>
  <c r="AC8" i="5"/>
  <c r="AD8" i="5"/>
  <c r="Q5" i="8"/>
  <c r="Q4" i="8"/>
  <c r="Q6" i="8"/>
  <c r="AF15" i="8"/>
  <c r="P4" i="2"/>
  <c r="Q4" i="2" s="1"/>
  <c r="U4" i="2" s="1"/>
  <c r="Q7" i="5"/>
  <c r="AF7" i="5" s="1"/>
  <c r="AC7" i="5"/>
  <c r="AD7" i="5"/>
  <c r="AF5" i="5"/>
  <c r="Q4" i="5"/>
  <c r="AF4" i="5" s="1"/>
  <c r="AD4" i="5"/>
  <c r="AC4" i="5"/>
  <c r="U6" i="5"/>
  <c r="T6" i="5" s="1"/>
  <c r="U3" i="5"/>
  <c r="T3" i="5" s="1"/>
  <c r="AE12" i="5" l="1"/>
  <c r="AE13" i="5"/>
  <c r="AE10" i="5"/>
  <c r="AG3" i="5"/>
  <c r="AH3" i="5"/>
  <c r="Q6" i="5"/>
  <c r="AF6" i="5" s="1"/>
  <c r="AG6" i="5"/>
  <c r="AH6" i="5"/>
  <c r="AC6" i="5"/>
  <c r="AD6" i="5"/>
  <c r="U3" i="8"/>
  <c r="AI9" i="8"/>
  <c r="AH9" i="8" s="1"/>
  <c r="AK9" i="8"/>
  <c r="AE9" i="8"/>
  <c r="AF7" i="8"/>
  <c r="AJ3" i="8"/>
  <c r="AM3" i="8"/>
  <c r="AL3" i="8"/>
  <c r="AK3" i="8"/>
  <c r="AN3" i="8"/>
  <c r="AI3" i="8"/>
  <c r="AH3" i="8" s="1"/>
  <c r="AE3" i="8"/>
  <c r="AD3" i="8"/>
  <c r="AF8" i="5"/>
  <c r="AE8" i="5"/>
  <c r="AF6" i="8"/>
  <c r="AG6" i="8"/>
  <c r="AG8" i="8"/>
  <c r="AF8" i="8" s="1"/>
  <c r="AP8" i="8" s="1"/>
  <c r="AF4" i="8"/>
  <c r="AG4" i="8"/>
  <c r="AF5" i="8"/>
  <c r="AG5" i="8"/>
  <c r="AE7" i="5"/>
  <c r="Q3" i="5"/>
  <c r="AF3" i="5" s="1"/>
  <c r="AD3" i="5"/>
  <c r="AC3" i="5"/>
  <c r="AE4" i="5"/>
  <c r="AE6" i="5" l="1"/>
  <c r="Q3" i="8"/>
  <c r="AG3" i="8" s="1"/>
  <c r="AO3" i="8"/>
  <c r="AF3" i="8" s="1"/>
  <c r="AE3" i="5"/>
</calcChain>
</file>

<file path=xl/sharedStrings.xml><?xml version="1.0" encoding="utf-8"?>
<sst xmlns="http://schemas.openxmlformats.org/spreadsheetml/2006/main" count="176" uniqueCount="128">
  <si>
    <t>salario</t>
  </si>
  <si>
    <t>salrio diario</t>
  </si>
  <si>
    <t>dias trabajados</t>
  </si>
  <si>
    <t>sub transporte</t>
  </si>
  <si>
    <t>sueldo devengado</t>
  </si>
  <si>
    <t>total devengado</t>
  </si>
  <si>
    <t>hora extra diurna</t>
  </si>
  <si>
    <t>costo hora dia</t>
  </si>
  <si>
    <t>25% del costo hora dia</t>
  </si>
  <si>
    <t xml:space="preserve">hora extra dominical </t>
  </si>
  <si>
    <t>extra nocturna dominical</t>
  </si>
  <si>
    <t>diurna</t>
  </si>
  <si>
    <t>nocturna</t>
  </si>
  <si>
    <t>N° horas D Ex</t>
  </si>
  <si>
    <t>1+1,5</t>
  </si>
  <si>
    <t>1+1</t>
  </si>
  <si>
    <t>dominical</t>
  </si>
  <si>
    <t>N° Extras diurnas</t>
  </si>
  <si>
    <t>extras devengado</t>
  </si>
  <si>
    <t>sub trasnporte</t>
  </si>
  <si>
    <t>sub trasn diario</t>
  </si>
  <si>
    <t>eps</t>
  </si>
  <si>
    <t>pension</t>
  </si>
  <si>
    <t>si gana el salario minimo aplicarle el 4%</t>
  </si>
  <si>
    <t>si gana mas del salario minimo aplicarle el 6%</t>
  </si>
  <si>
    <t>aportes parafiscales= sena 2% total sueldo base de los aportes</t>
  </si>
  <si>
    <t>ICBF 3%</t>
  </si>
  <si>
    <t>CCF 4%</t>
  </si>
  <si>
    <t>aportes  salud  8,50 %</t>
  </si>
  <si>
    <t>aportes pension 12%</t>
  </si>
  <si>
    <t>aportes ARL 6,96%  (depende del tipo de riesgo)</t>
  </si>
  <si>
    <t>prima 8,33%</t>
  </si>
  <si>
    <t>total sueldo base aportes + auxilio de transporte</t>
  </si>
  <si>
    <t>cesantias 8,33%</t>
  </si>
  <si>
    <t>total sueldo base aportes + auxilio dce transporte</t>
  </si>
  <si>
    <t>prestciones sociales  (un mes)</t>
  </si>
  <si>
    <t>intereses cesantias 12%</t>
  </si>
  <si>
    <t>SUELDO  BASE APORTES= salario basico + valor horas extras + valor horas recargo + comisiones</t>
  </si>
  <si>
    <t>valor hora extra diurna</t>
  </si>
  <si>
    <t>valor extra nocturna</t>
  </si>
  <si>
    <t>VHED</t>
  </si>
  <si>
    <t>VHEN</t>
  </si>
  <si>
    <t>VHN</t>
  </si>
  <si>
    <t>valor hora normal</t>
  </si>
  <si>
    <t>valor hora extra festiva diurna</t>
  </si>
  <si>
    <t>VHEFD</t>
  </si>
  <si>
    <t>valor hora extra festiva nocturna</t>
  </si>
  <si>
    <t>2,5  (150%)</t>
  </si>
  <si>
    <t>valor hora recargo nocturno</t>
  </si>
  <si>
    <t>2  (100%)</t>
  </si>
  <si>
    <t>valor hora recargo festivo diurno</t>
  </si>
  <si>
    <t>valor hora recrago festivo nocturno</t>
  </si>
  <si>
    <t>sueldo base aportes</t>
  </si>
  <si>
    <t>neto a pagar</t>
  </si>
  <si>
    <t>fondo solidaridad</t>
  </si>
  <si>
    <t>1,75  (75%)</t>
  </si>
  <si>
    <t>1% si gana menos de 4 salarios minimos</t>
  </si>
  <si>
    <t>1,25  (25%)</t>
  </si>
  <si>
    <t xml:space="preserve">fondo solidaridad </t>
  </si>
  <si>
    <t>VHEFN</t>
  </si>
  <si>
    <t>VHRFD</t>
  </si>
  <si>
    <t>VHRFN</t>
  </si>
  <si>
    <t>VHRN</t>
  </si>
  <si>
    <t>recargo</t>
  </si>
  <si>
    <t>cuando el horario habitual se trabaja un festivo</t>
  </si>
  <si>
    <t>trabajador</t>
  </si>
  <si>
    <t>empleador</t>
  </si>
  <si>
    <t>si gana mas de 2 SMMLV no recibe subsidio de transporte</t>
  </si>
  <si>
    <t>SubT(2020)</t>
  </si>
  <si>
    <t>SMMLV(2020)</t>
  </si>
  <si>
    <t>51 quiere decir gastos</t>
  </si>
  <si>
    <t>23 cuentas de pasivo</t>
  </si>
  <si>
    <t>clase</t>
  </si>
  <si>
    <t>grupo</t>
  </si>
  <si>
    <t>cuenta</t>
  </si>
  <si>
    <t>subcuenta</t>
  </si>
  <si>
    <t>gastos</t>
  </si>
  <si>
    <t xml:space="preserve">operaciones de administracion </t>
  </si>
  <si>
    <t>gastos de personal</t>
  </si>
  <si>
    <t>sueldos</t>
  </si>
  <si>
    <t xml:space="preserve">Costo total </t>
  </si>
  <si>
    <t>empleado</t>
  </si>
  <si>
    <t xml:space="preserve">aportes parafiscales </t>
  </si>
  <si>
    <t>Salario</t>
  </si>
  <si>
    <t>diario</t>
  </si>
  <si>
    <t xml:space="preserve">Salario </t>
  </si>
  <si>
    <t>Dias</t>
  </si>
  <si>
    <t xml:space="preserve">trabajados </t>
  </si>
  <si>
    <t>Subsidio</t>
  </si>
  <si>
    <t>transporte</t>
  </si>
  <si>
    <t>devengado</t>
  </si>
  <si>
    <t>(basico+auxilio)</t>
  </si>
  <si>
    <t>Sueldo</t>
  </si>
  <si>
    <t>Subsidio trans</t>
  </si>
  <si>
    <t>devengdo</t>
  </si>
  <si>
    <t>Sueldo total</t>
  </si>
  <si>
    <t>base aportes</t>
  </si>
  <si>
    <t>Horas extras</t>
  </si>
  <si>
    <t>(+recargo)</t>
  </si>
  <si>
    <t>N° HEFD</t>
  </si>
  <si>
    <t>N° HEN</t>
  </si>
  <si>
    <t>N° HEFN</t>
  </si>
  <si>
    <t>N° HRFD</t>
  </si>
  <si>
    <t>N° HRFN</t>
  </si>
  <si>
    <t>N° HRN</t>
  </si>
  <si>
    <t>N° HED</t>
  </si>
  <si>
    <t xml:space="preserve"> Fondo</t>
  </si>
  <si>
    <t>solidario</t>
  </si>
  <si>
    <t>Intereses</t>
  </si>
  <si>
    <t>cesantias (12%)</t>
  </si>
  <si>
    <t xml:space="preserve">Cesantias (8,33%) </t>
  </si>
  <si>
    <t xml:space="preserve">Pension(12%) </t>
  </si>
  <si>
    <t>Prima (8,33%)</t>
  </si>
  <si>
    <t>SENA(2%)</t>
  </si>
  <si>
    <t>ICBF(3%)</t>
  </si>
  <si>
    <t>CCF(4%)</t>
  </si>
  <si>
    <t>ARL(2,5%)</t>
  </si>
  <si>
    <t xml:space="preserve">Dias </t>
  </si>
  <si>
    <t>trabajados</t>
  </si>
  <si>
    <t>Horas extra</t>
  </si>
  <si>
    <t>EPS(8,5%)</t>
  </si>
  <si>
    <t>EPS(4%)</t>
  </si>
  <si>
    <t>Pension(4%)</t>
  </si>
  <si>
    <t>Neto a pagar</t>
  </si>
  <si>
    <t>Fondo</t>
  </si>
  <si>
    <t xml:space="preserve">cesantias  </t>
  </si>
  <si>
    <t>prima</t>
  </si>
  <si>
    <t>Vacaciones (4,17%)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</si>
</sst>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2" applyNumberFormat="1" applyFont="1"/>
    <xf numFmtId="164" fontId="0" fillId="0" borderId="0" xfId="2" applyNumberFormat="1" applyFont="1" applyAlignment="1">
      <alignment horizontal="center"/>
    </xf>
    <xf numFmtId="164" fontId="0" fillId="0" borderId="0" xfId="2" applyNumberFormat="1" applyFont="1" applyAlignment="1">
      <alignment horizontal="center"/>
    </xf>
    <xf numFmtId="165" fontId="0" fillId="0" borderId="0" xfId="1" applyNumberFormat="1" applyFont="1"/>
    <xf numFmtId="9" fontId="0" fillId="0" borderId="0" xfId="0" applyNumberFormat="1"/>
    <xf numFmtId="164" fontId="0" fillId="0" borderId="0" xfId="0" applyNumberFormat="1"/>
    <xf numFmtId="164" fontId="0" fillId="2" borderId="0" xfId="2" applyNumberFormat="1" applyFont="1" applyFill="1"/>
    <xf numFmtId="164" fontId="0" fillId="3" borderId="0" xfId="2" applyNumberFormat="1" applyFont="1" applyFill="1"/>
    <xf numFmtId="165" fontId="0" fillId="3" borderId="0" xfId="1" applyNumberFormat="1" applyFont="1" applyFill="1"/>
    <xf numFmtId="164" fontId="0" fillId="0" borderId="0" xfId="2" applyNumberFormat="1" applyFont="1" applyFill="1"/>
    <xf numFmtId="164" fontId="0" fillId="0" borderId="0" xfId="0" applyNumberFormat="1" applyFill="1"/>
    <xf numFmtId="0" fontId="0" fillId="0" borderId="0" xfId="0" applyFill="1"/>
    <xf numFmtId="165" fontId="0" fillId="0" borderId="0" xfId="1" applyNumberFormat="1" applyFont="1" applyFill="1"/>
    <xf numFmtId="164" fontId="0" fillId="2" borderId="0" xfId="2" applyNumberFormat="1" applyFont="1" applyFill="1" applyBorder="1" applyAlignment="1">
      <alignment vertical="center"/>
    </xf>
    <xf numFmtId="164" fontId="0" fillId="0" borderId="0" xfId="2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5" fontId="0" fillId="3" borderId="1" xfId="1" applyNumberFormat="1" applyFont="1" applyFill="1" applyBorder="1" applyAlignment="1">
      <alignment horizontal="center"/>
    </xf>
    <xf numFmtId="165" fontId="0" fillId="3" borderId="2" xfId="1" applyNumberFormat="1" applyFont="1" applyFill="1" applyBorder="1" applyAlignment="1">
      <alignment horizontal="center"/>
    </xf>
    <xf numFmtId="0" fontId="0" fillId="0" borderId="0" xfId="0" applyNumberFormat="1"/>
    <xf numFmtId="0" fontId="2" fillId="0" borderId="0" xfId="1" applyNumberFormat="1" applyFont="1" applyFill="1" applyAlignment="1">
      <alignment horizontal="center" vertical="center"/>
    </xf>
    <xf numFmtId="164" fontId="0" fillId="5" borderId="0" xfId="2" applyNumberFormat="1" applyFont="1" applyFill="1"/>
    <xf numFmtId="164" fontId="0" fillId="5" borderId="0" xfId="2" applyNumberFormat="1" applyFont="1" applyFill="1" applyBorder="1" applyAlignment="1">
      <alignment vertical="center"/>
    </xf>
    <xf numFmtId="165" fontId="0" fillId="5" borderId="0" xfId="1" applyNumberFormat="1" applyFont="1" applyFill="1"/>
    <xf numFmtId="165" fontId="0" fillId="5" borderId="2" xfId="1" applyNumberFormat="1" applyFont="1" applyFill="1" applyBorder="1" applyAlignment="1">
      <alignment horizontal="center"/>
    </xf>
    <xf numFmtId="165" fontId="0" fillId="5" borderId="1" xfId="1" applyNumberFormat="1" applyFont="1" applyFill="1" applyBorder="1" applyAlignment="1">
      <alignment horizontal="center"/>
    </xf>
    <xf numFmtId="164" fontId="0" fillId="5" borderId="0" xfId="0" applyNumberFormat="1" applyFill="1"/>
    <xf numFmtId="0" fontId="0" fillId="5" borderId="0" xfId="0" applyFill="1"/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opLeftCell="I2" zoomScale="70" zoomScaleNormal="70" workbookViewId="0">
      <selection activeCell="U4" sqref="U4"/>
    </sheetView>
  </sheetViews>
  <sheetFormatPr baseColWidth="10" defaultRowHeight="15" x14ac:dyDescent="0.25"/>
  <cols>
    <col min="2" max="2" width="17.140625" customWidth="1"/>
    <col min="3" max="3" width="19" customWidth="1"/>
    <col min="4" max="5" width="18.5703125" customWidth="1"/>
    <col min="6" max="6" width="15.42578125" customWidth="1"/>
    <col min="7" max="7" width="18.42578125" customWidth="1"/>
    <col min="8" max="8" width="17.5703125" customWidth="1"/>
    <col min="9" max="9" width="17" customWidth="1"/>
    <col min="10" max="10" width="26.28515625" customWidth="1"/>
    <col min="11" max="11" width="21.28515625" customWidth="1"/>
    <col min="12" max="12" width="21.140625" customWidth="1"/>
    <col min="13" max="13" width="16.85546875" customWidth="1"/>
    <col min="14" max="15" width="19.85546875" customWidth="1"/>
    <col min="16" max="16" width="19.42578125" customWidth="1"/>
    <col min="17" max="17" width="17.85546875" customWidth="1"/>
    <col min="18" max="18" width="15.5703125" customWidth="1"/>
    <col min="19" max="19" width="23.42578125" customWidth="1"/>
    <col min="20" max="20" width="14" customWidth="1"/>
    <col min="21" max="21" width="15.28515625" customWidth="1"/>
  </cols>
  <sheetData>
    <row r="1" spans="1:21" x14ac:dyDescent="0.25">
      <c r="J1" t="s">
        <v>14</v>
      </c>
      <c r="K1" t="s">
        <v>15</v>
      </c>
      <c r="R1" t="s">
        <v>23</v>
      </c>
    </row>
    <row r="2" spans="1:21" x14ac:dyDescent="0.25">
      <c r="A2" s="1"/>
      <c r="B2" s="1">
        <v>877802</v>
      </c>
      <c r="C2" s="1">
        <v>102854</v>
      </c>
      <c r="D2" s="1"/>
      <c r="E2" s="1">
        <v>3658</v>
      </c>
      <c r="F2" s="1"/>
      <c r="G2" s="1"/>
      <c r="H2" s="1" t="s">
        <v>16</v>
      </c>
      <c r="I2" s="1" t="s">
        <v>11</v>
      </c>
      <c r="J2" s="1" t="s">
        <v>12</v>
      </c>
      <c r="K2" s="1" t="s">
        <v>11</v>
      </c>
      <c r="L2" s="5" t="s">
        <v>8</v>
      </c>
      <c r="M2" s="5"/>
      <c r="N2" s="1"/>
      <c r="O2" s="1"/>
      <c r="P2" s="1"/>
      <c r="Q2" s="1"/>
      <c r="R2" t="s">
        <v>24</v>
      </c>
    </row>
    <row r="3" spans="1:21" x14ac:dyDescent="0.25">
      <c r="A3" s="1"/>
      <c r="B3" s="1" t="s">
        <v>0</v>
      </c>
      <c r="C3" s="1" t="s">
        <v>3</v>
      </c>
      <c r="D3" s="1" t="s">
        <v>20</v>
      </c>
      <c r="E3" s="1" t="s">
        <v>7</v>
      </c>
      <c r="F3" s="1" t="s">
        <v>1</v>
      </c>
      <c r="G3" s="1" t="s">
        <v>2</v>
      </c>
      <c r="H3" s="1" t="s">
        <v>17</v>
      </c>
      <c r="I3" s="1" t="s">
        <v>13</v>
      </c>
      <c r="J3" s="1" t="s">
        <v>10</v>
      </c>
      <c r="K3" s="1" t="s">
        <v>9</v>
      </c>
      <c r="L3" s="1" t="s">
        <v>6</v>
      </c>
      <c r="M3" s="1" t="s">
        <v>19</v>
      </c>
      <c r="N3" s="1" t="s">
        <v>4</v>
      </c>
      <c r="O3" s="1" t="s">
        <v>52</v>
      </c>
      <c r="P3" s="1" t="s">
        <v>18</v>
      </c>
      <c r="Q3" s="1" t="s">
        <v>5</v>
      </c>
      <c r="R3" s="2" t="s">
        <v>21</v>
      </c>
      <c r="S3" s="3" t="s">
        <v>54</v>
      </c>
      <c r="T3" s="1" t="s">
        <v>22</v>
      </c>
      <c r="U3" s="1" t="s">
        <v>53</v>
      </c>
    </row>
    <row r="4" spans="1:21" x14ac:dyDescent="0.25">
      <c r="A4" s="1"/>
      <c r="B4" s="1">
        <v>877802</v>
      </c>
      <c r="C4" s="1">
        <v>102854</v>
      </c>
      <c r="D4" s="1">
        <f>C2/G4</f>
        <v>3428.4666666666667</v>
      </c>
      <c r="E4" s="1">
        <v>3658</v>
      </c>
      <c r="F4" s="1">
        <f>B4/G4</f>
        <v>29260.066666666666</v>
      </c>
      <c r="G4" s="4">
        <v>30</v>
      </c>
      <c r="H4" s="4">
        <v>10</v>
      </c>
      <c r="I4" s="4">
        <v>15</v>
      </c>
      <c r="J4" s="4">
        <f>E4*2.5</f>
        <v>9145</v>
      </c>
      <c r="K4" s="1">
        <f>E4*2</f>
        <v>7316</v>
      </c>
      <c r="L4" s="1">
        <f>E4*1.25</f>
        <v>4572.5</v>
      </c>
      <c r="M4" s="1">
        <f>D4*30</f>
        <v>102854</v>
      </c>
      <c r="N4" s="1">
        <v>877802</v>
      </c>
      <c r="O4" s="1">
        <v>1019530</v>
      </c>
      <c r="P4" s="1">
        <f>K4*H4+I4*L4</f>
        <v>141747.5</v>
      </c>
      <c r="Q4" s="1">
        <f>P4+M4+N4</f>
        <v>1122403.5</v>
      </c>
      <c r="R4" s="6">
        <f>O4*0.04</f>
        <v>40781.200000000004</v>
      </c>
      <c r="S4" s="6"/>
      <c r="T4" s="6">
        <f>O4*0.04</f>
        <v>40781.200000000004</v>
      </c>
      <c r="U4" s="6">
        <f>Q4-R4-T4</f>
        <v>1040841.1000000001</v>
      </c>
    </row>
    <row r="5" spans="1:21" x14ac:dyDescent="0.25">
      <c r="A5" s="1"/>
      <c r="B5" s="1"/>
      <c r="C5" s="1"/>
      <c r="D5" s="1"/>
      <c r="E5" s="1"/>
      <c r="F5" s="1"/>
      <c r="G5" s="4"/>
      <c r="H5" s="4"/>
      <c r="I5" s="4"/>
      <c r="J5" s="4"/>
      <c r="K5" s="1"/>
      <c r="L5" s="1"/>
      <c r="M5" s="1"/>
      <c r="N5" s="1"/>
      <c r="O5" s="1"/>
      <c r="P5" s="1"/>
      <c r="Q5" s="1"/>
    </row>
    <row r="6" spans="1:21" x14ac:dyDescent="0.25">
      <c r="A6" s="1"/>
      <c r="B6" s="1"/>
      <c r="C6" s="1"/>
      <c r="D6" s="1"/>
      <c r="E6" s="1"/>
      <c r="F6" s="1"/>
      <c r="G6" s="4"/>
      <c r="H6" s="4"/>
      <c r="I6" s="4"/>
      <c r="J6" s="4"/>
      <c r="K6" s="1"/>
      <c r="L6" s="1"/>
      <c r="M6" s="1"/>
      <c r="N6" s="1"/>
      <c r="O6" s="1"/>
      <c r="P6" s="1"/>
      <c r="Q6" s="1"/>
    </row>
    <row r="7" spans="1:21" x14ac:dyDescent="0.25">
      <c r="A7" s="1"/>
      <c r="B7" s="1"/>
      <c r="C7" s="1"/>
      <c r="D7" s="1"/>
      <c r="E7" s="1"/>
      <c r="F7" s="1"/>
      <c r="G7" s="4"/>
      <c r="H7" s="4"/>
      <c r="I7" s="4"/>
      <c r="J7" s="4"/>
      <c r="K7" s="1"/>
      <c r="L7" s="1"/>
      <c r="M7" s="1"/>
      <c r="N7" s="1"/>
      <c r="O7" s="1"/>
      <c r="P7" s="1"/>
      <c r="Q7" s="1"/>
    </row>
    <row r="8" spans="1:21" x14ac:dyDescent="0.25">
      <c r="A8" s="1"/>
      <c r="B8" s="1" t="s">
        <v>67</v>
      </c>
      <c r="C8" s="1"/>
      <c r="D8" s="1"/>
      <c r="E8" s="1"/>
      <c r="F8" s="1"/>
      <c r="G8" s="4"/>
      <c r="H8" s="4"/>
      <c r="I8" s="4"/>
      <c r="J8" s="4"/>
      <c r="K8" s="1"/>
      <c r="L8" s="1"/>
      <c r="M8" s="1"/>
      <c r="N8" s="1"/>
      <c r="O8" s="1"/>
      <c r="P8" s="1"/>
      <c r="Q8" s="1"/>
    </row>
    <row r="9" spans="1:21" x14ac:dyDescent="0.25">
      <c r="A9" s="1"/>
      <c r="B9" s="1" t="s">
        <v>63</v>
      </c>
      <c r="C9" s="1" t="s">
        <v>64</v>
      </c>
      <c r="D9" s="1"/>
      <c r="E9" s="1"/>
      <c r="F9" s="1"/>
      <c r="G9" s="4"/>
      <c r="H9" s="4"/>
      <c r="I9" s="4"/>
      <c r="J9" s="4"/>
      <c r="K9" s="1"/>
      <c r="L9" s="1"/>
      <c r="M9" s="1"/>
      <c r="N9" s="1"/>
      <c r="O9" s="1"/>
      <c r="P9" s="1"/>
      <c r="Q9" s="1"/>
    </row>
    <row r="10" spans="1:21" x14ac:dyDescent="0.25">
      <c r="A10" s="1"/>
      <c r="B10" s="1" t="s">
        <v>58</v>
      </c>
      <c r="C10" s="1"/>
      <c r="D10" s="1" t="s">
        <v>56</v>
      </c>
      <c r="E10" s="1"/>
      <c r="F10" s="1"/>
      <c r="G10" s="4"/>
      <c r="H10" s="4"/>
      <c r="I10" s="4"/>
      <c r="J10" s="4"/>
      <c r="K10" s="1"/>
      <c r="L10" s="1"/>
      <c r="M10" s="1"/>
      <c r="N10" s="1"/>
      <c r="O10" s="1"/>
      <c r="P10" s="1"/>
      <c r="Q10" s="1"/>
    </row>
    <row r="11" spans="1:21" x14ac:dyDescent="0.25">
      <c r="B11" t="s">
        <v>37</v>
      </c>
      <c r="G11" s="4"/>
      <c r="H11" s="4"/>
      <c r="I11" s="4"/>
      <c r="J11" s="4"/>
      <c r="K11" s="1"/>
    </row>
    <row r="12" spans="1:21" x14ac:dyDescent="0.25">
      <c r="B12" t="s">
        <v>25</v>
      </c>
      <c r="G12" s="4"/>
      <c r="H12" s="4"/>
      <c r="I12" s="4"/>
      <c r="J12" s="4"/>
      <c r="K12" s="1"/>
    </row>
    <row r="13" spans="1:21" x14ac:dyDescent="0.25">
      <c r="C13" t="s">
        <v>26</v>
      </c>
      <c r="G13" s="4"/>
      <c r="H13" s="4"/>
      <c r="I13" s="4"/>
      <c r="J13" s="4"/>
      <c r="K13" s="1"/>
    </row>
    <row r="14" spans="1:21" x14ac:dyDescent="0.25">
      <c r="C14" t="s">
        <v>27</v>
      </c>
      <c r="G14" s="4"/>
      <c r="H14" s="4"/>
      <c r="I14" s="4"/>
      <c r="J14" s="4"/>
      <c r="K14" s="1"/>
    </row>
    <row r="15" spans="1:21" x14ac:dyDescent="0.25">
      <c r="B15" t="s">
        <v>28</v>
      </c>
      <c r="E15" s="42" t="s">
        <v>66</v>
      </c>
      <c r="F15" s="42"/>
      <c r="G15" s="4">
        <v>0.04</v>
      </c>
      <c r="H15" s="43" t="s">
        <v>65</v>
      </c>
      <c r="I15" s="4"/>
      <c r="J15" s="4"/>
      <c r="K15" s="1"/>
    </row>
    <row r="16" spans="1:21" x14ac:dyDescent="0.25">
      <c r="B16" t="s">
        <v>29</v>
      </c>
      <c r="E16" s="42"/>
      <c r="F16" s="42"/>
      <c r="G16" s="5">
        <v>0.04</v>
      </c>
      <c r="H16" s="43"/>
    </row>
    <row r="17" spans="1:7" x14ac:dyDescent="0.25">
      <c r="B17" t="s">
        <v>30</v>
      </c>
      <c r="E17" s="42"/>
      <c r="F17" s="42"/>
      <c r="G17" s="5">
        <v>0.04</v>
      </c>
    </row>
    <row r="18" spans="1:7" x14ac:dyDescent="0.25">
      <c r="B18" t="s">
        <v>35</v>
      </c>
    </row>
    <row r="19" spans="1:7" x14ac:dyDescent="0.25">
      <c r="C19" t="s">
        <v>31</v>
      </c>
      <c r="D19" t="s">
        <v>32</v>
      </c>
    </row>
    <row r="20" spans="1:7" x14ac:dyDescent="0.25">
      <c r="C20" t="s">
        <v>33</v>
      </c>
      <c r="D20" t="s">
        <v>34</v>
      </c>
    </row>
    <row r="21" spans="1:7" x14ac:dyDescent="0.25">
      <c r="C21" t="s">
        <v>36</v>
      </c>
    </row>
    <row r="22" spans="1:7" x14ac:dyDescent="0.25">
      <c r="A22" t="s">
        <v>42</v>
      </c>
      <c r="B22" t="s">
        <v>43</v>
      </c>
      <c r="D22">
        <v>1</v>
      </c>
    </row>
    <row r="23" spans="1:7" x14ac:dyDescent="0.25">
      <c r="A23" t="s">
        <v>40</v>
      </c>
      <c r="B23" t="s">
        <v>38</v>
      </c>
      <c r="D23" t="s">
        <v>57</v>
      </c>
    </row>
    <row r="24" spans="1:7" x14ac:dyDescent="0.25">
      <c r="A24" t="s">
        <v>41</v>
      </c>
      <c r="B24" t="s">
        <v>39</v>
      </c>
      <c r="D24" t="s">
        <v>55</v>
      </c>
    </row>
    <row r="25" spans="1:7" x14ac:dyDescent="0.25">
      <c r="A25" t="s">
        <v>45</v>
      </c>
      <c r="B25" t="s">
        <v>44</v>
      </c>
      <c r="D25" t="s">
        <v>49</v>
      </c>
    </row>
    <row r="26" spans="1:7" x14ac:dyDescent="0.25">
      <c r="A26" t="s">
        <v>59</v>
      </c>
      <c r="B26" t="s">
        <v>46</v>
      </c>
      <c r="D26" t="s">
        <v>47</v>
      </c>
    </row>
    <row r="27" spans="1:7" x14ac:dyDescent="0.25">
      <c r="A27" t="s">
        <v>62</v>
      </c>
      <c r="B27" t="s">
        <v>48</v>
      </c>
      <c r="D27">
        <v>1.35</v>
      </c>
    </row>
    <row r="28" spans="1:7" x14ac:dyDescent="0.25">
      <c r="A28" t="s">
        <v>60</v>
      </c>
      <c r="B28" t="s">
        <v>50</v>
      </c>
      <c r="D28">
        <v>1.75</v>
      </c>
    </row>
    <row r="29" spans="1:7" x14ac:dyDescent="0.25">
      <c r="A29" t="s">
        <v>61</v>
      </c>
      <c r="B29" t="s">
        <v>51</v>
      </c>
      <c r="D29">
        <v>2.1</v>
      </c>
    </row>
    <row r="31" spans="1:7" x14ac:dyDescent="0.25">
      <c r="B31" t="s">
        <v>70</v>
      </c>
    </row>
    <row r="32" spans="1:7" x14ac:dyDescent="0.25">
      <c r="B32" t="s">
        <v>71</v>
      </c>
    </row>
  </sheetData>
  <mergeCells count="2">
    <mergeCell ref="E15:F17"/>
    <mergeCell ref="H15:H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8"/>
  <sheetViews>
    <sheetView topLeftCell="S1" zoomScale="80" zoomScaleNormal="80" workbookViewId="0">
      <selection activeCell="AE6" sqref="AE6"/>
    </sheetView>
  </sheetViews>
  <sheetFormatPr baseColWidth="10" defaultRowHeight="15" x14ac:dyDescent="0.25"/>
  <cols>
    <col min="2" max="2" width="12" bestFit="1" customWidth="1"/>
    <col min="10" max="10" width="14.42578125" style="17" customWidth="1"/>
    <col min="11" max="11" width="12.85546875" style="12" bestFit="1" customWidth="1"/>
    <col min="14" max="14" width="12.7109375" bestFit="1" customWidth="1"/>
    <col min="15" max="15" width="11.42578125" style="12"/>
    <col min="16" max="16" width="14" customWidth="1"/>
    <col min="17" max="17" width="12.85546875" bestFit="1" customWidth="1"/>
    <col min="18" max="21" width="14" customWidth="1"/>
    <col min="22" max="28" width="11.42578125" style="12"/>
    <col min="29" max="29" width="13.28515625" customWidth="1"/>
    <col min="30" max="30" width="14" customWidth="1"/>
    <col min="31" max="31" width="16.42578125" customWidth="1"/>
    <col min="32" max="32" width="18.85546875" customWidth="1"/>
    <col min="33" max="33" width="17.85546875" customWidth="1"/>
    <col min="34" max="34" width="17" customWidth="1"/>
  </cols>
  <sheetData>
    <row r="1" spans="2:37" x14ac:dyDescent="0.25">
      <c r="B1" s="53" t="s">
        <v>42</v>
      </c>
      <c r="C1" s="53" t="s">
        <v>40</v>
      </c>
      <c r="D1" s="53" t="s">
        <v>41</v>
      </c>
      <c r="E1" s="53" t="s">
        <v>45</v>
      </c>
      <c r="F1" s="53" t="s">
        <v>59</v>
      </c>
      <c r="G1" s="53" t="s">
        <v>62</v>
      </c>
      <c r="H1" s="53" t="s">
        <v>60</v>
      </c>
      <c r="I1" s="53" t="s">
        <v>61</v>
      </c>
      <c r="J1" s="53" t="s">
        <v>69</v>
      </c>
      <c r="K1" s="55" t="s">
        <v>85</v>
      </c>
      <c r="L1" s="54" t="s">
        <v>83</v>
      </c>
      <c r="M1" s="54" t="s">
        <v>117</v>
      </c>
      <c r="N1" s="54" t="s">
        <v>88</v>
      </c>
      <c r="O1" s="53" t="s">
        <v>68</v>
      </c>
      <c r="P1" s="37" t="s">
        <v>93</v>
      </c>
      <c r="Q1" s="35" t="s">
        <v>95</v>
      </c>
      <c r="R1" s="54" t="s">
        <v>92</v>
      </c>
      <c r="S1" s="37" t="s">
        <v>93</v>
      </c>
      <c r="T1" s="37" t="s">
        <v>83</v>
      </c>
      <c r="U1" s="37" t="s">
        <v>119</v>
      </c>
      <c r="V1" s="44" t="s">
        <v>99</v>
      </c>
      <c r="W1" s="44" t="s">
        <v>100</v>
      </c>
      <c r="X1" s="44" t="s">
        <v>101</v>
      </c>
      <c r="Y1" s="44" t="s">
        <v>102</v>
      </c>
      <c r="Z1" s="44" t="s">
        <v>103</v>
      </c>
      <c r="AA1" s="44" t="s">
        <v>104</v>
      </c>
      <c r="AB1" s="44" t="s">
        <v>105</v>
      </c>
      <c r="AC1" s="44" t="s">
        <v>121</v>
      </c>
      <c r="AD1" s="44" t="s">
        <v>122</v>
      </c>
      <c r="AE1" s="44" t="s">
        <v>123</v>
      </c>
      <c r="AF1" s="37" t="s">
        <v>124</v>
      </c>
      <c r="AG1" s="44" t="s">
        <v>125</v>
      </c>
      <c r="AH1" s="44" t="s">
        <v>126</v>
      </c>
      <c r="AI1" s="12"/>
      <c r="AJ1" s="12"/>
      <c r="AK1" s="12"/>
    </row>
    <row r="2" spans="2:37" x14ac:dyDescent="0.25">
      <c r="B2" s="53"/>
      <c r="C2" s="53"/>
      <c r="D2" s="53"/>
      <c r="E2" s="53"/>
      <c r="F2" s="53"/>
      <c r="G2" s="53"/>
      <c r="H2" s="53"/>
      <c r="I2" s="53"/>
      <c r="J2" s="53"/>
      <c r="K2" s="46"/>
      <c r="L2" s="54" t="s">
        <v>84</v>
      </c>
      <c r="M2" s="54" t="s">
        <v>118</v>
      </c>
      <c r="N2" s="54" t="s">
        <v>89</v>
      </c>
      <c r="O2" s="53"/>
      <c r="P2" s="31" t="s">
        <v>84</v>
      </c>
      <c r="Q2" s="36" t="s">
        <v>90</v>
      </c>
      <c r="R2" s="31" t="s">
        <v>90</v>
      </c>
      <c r="S2" s="31" t="s">
        <v>90</v>
      </c>
      <c r="T2" s="31" t="s">
        <v>96</v>
      </c>
      <c r="U2" s="31" t="s">
        <v>98</v>
      </c>
      <c r="V2" s="44"/>
      <c r="W2" s="44"/>
      <c r="X2" s="44"/>
      <c r="Y2" s="44"/>
      <c r="Z2" s="44"/>
      <c r="AA2" s="44"/>
      <c r="AB2" s="44"/>
      <c r="AC2" s="44"/>
      <c r="AD2" s="44"/>
      <c r="AE2" s="44"/>
      <c r="AF2" s="31" t="s">
        <v>107</v>
      </c>
      <c r="AG2" s="44"/>
      <c r="AH2" s="44"/>
      <c r="AI2" s="12"/>
      <c r="AJ2" s="12"/>
      <c r="AK2" s="12"/>
    </row>
    <row r="3" spans="2:37" x14ac:dyDescent="0.25">
      <c r="B3" s="1">
        <f>SMMLVD/8</f>
        <v>3657.5083333333332</v>
      </c>
      <c r="C3" s="1">
        <f>B3+B3*0.25</f>
        <v>4571.8854166666661</v>
      </c>
      <c r="D3" s="1">
        <f>VHN+VHN*0.75</f>
        <v>6400.6395833333336</v>
      </c>
      <c r="E3" s="1">
        <f>VHN+VHN</f>
        <v>7315.0166666666664</v>
      </c>
      <c r="F3" s="1">
        <f>VHN+VHN+VHN*0.5</f>
        <v>9143.7708333333321</v>
      </c>
      <c r="G3" s="1">
        <f>VHN+VHN*0.35</f>
        <v>4937.6362499999996</v>
      </c>
      <c r="H3" s="1">
        <f>VHN+VHN*0.75</f>
        <v>6400.6395833333336</v>
      </c>
      <c r="I3" s="1">
        <f>VHN+VHN+VHN*0.01</f>
        <v>7351.5917499999996</v>
      </c>
      <c r="J3" s="14">
        <v>877802</v>
      </c>
      <c r="K3" s="8">
        <v>877802</v>
      </c>
      <c r="L3" s="1">
        <f>K3/30</f>
        <v>29260.066666666666</v>
      </c>
      <c r="M3" s="9">
        <v>30</v>
      </c>
      <c r="N3" s="4">
        <f t="shared" ref="N3:N8" si="0">IF(K3&lt;(2*SMMLV),O5)</f>
        <v>102854</v>
      </c>
      <c r="O3" s="7">
        <v>102854</v>
      </c>
      <c r="P3" s="1">
        <f>N3/30</f>
        <v>3428.4666666666667</v>
      </c>
      <c r="Q3" s="1">
        <f>T3+S3</f>
        <v>1122384.4479166665</v>
      </c>
      <c r="R3" s="10">
        <f>SMMLVD*DT</f>
        <v>877802</v>
      </c>
      <c r="S3" s="10">
        <f>SuTD*DT</f>
        <v>102854</v>
      </c>
      <c r="T3" s="10">
        <f>SBA+SD</f>
        <v>1019530.4479166666</v>
      </c>
      <c r="U3" s="1">
        <f>(N_HEFD*VHEFD)+(VHEN*W3)+(N_HED*VHED)+(VHEFN*X3)+(Y3*VHRFD)+(VHRN*AA3)+(Z3*VHRFN)</f>
        <v>141728.44791666663</v>
      </c>
      <c r="V3" s="19">
        <v>10</v>
      </c>
      <c r="W3" s="19">
        <v>0</v>
      </c>
      <c r="X3" s="19">
        <v>0</v>
      </c>
      <c r="Y3" s="19">
        <v>0</v>
      </c>
      <c r="Z3" s="19">
        <v>0</v>
      </c>
      <c r="AA3" s="19">
        <v>0</v>
      </c>
      <c r="AB3" s="18">
        <v>15</v>
      </c>
      <c r="AC3" s="6">
        <f>T3*4%</f>
        <v>40781.217916666668</v>
      </c>
      <c r="AD3" s="6">
        <f>T3*4%</f>
        <v>40781.217916666668</v>
      </c>
      <c r="AE3" s="6">
        <f>-Pe-EPS+Q3</f>
        <v>1040822.0120833332</v>
      </c>
      <c r="AF3" s="1" t="b">
        <f>IF(Q3&gt;(4*J3),T3*1%)</f>
        <v>0</v>
      </c>
      <c r="AG3" s="1">
        <f>(T3+S3)*8.33%</f>
        <v>93494.624511458314</v>
      </c>
      <c r="AH3" s="1">
        <f>(T3+S3)*8.33%</f>
        <v>93494.624511458314</v>
      </c>
    </row>
    <row r="4" spans="2:37" x14ac:dyDescent="0.25">
      <c r="B4" s="1">
        <f>L4/8</f>
        <v>3333.3333333333335</v>
      </c>
      <c r="C4" s="1">
        <f t="shared" ref="C4:C15" si="1">B4+B4*0.25</f>
        <v>4166.666666666667</v>
      </c>
      <c r="D4" s="1">
        <f>B4+B4*0.75</f>
        <v>5833.3333333333339</v>
      </c>
      <c r="E4" s="1">
        <f>B4+B4</f>
        <v>6666.666666666667</v>
      </c>
      <c r="F4" s="1">
        <f>E4+B4*0.5</f>
        <v>8333.3333333333339</v>
      </c>
      <c r="G4" s="1">
        <f>B4+B4*0.35</f>
        <v>4500</v>
      </c>
      <c r="H4" s="1">
        <f>B4+B4*0.75</f>
        <v>5833.3333333333339</v>
      </c>
      <c r="I4" s="1">
        <f>B4+B4+B4*0.01</f>
        <v>6700</v>
      </c>
      <c r="J4" s="14">
        <v>877802</v>
      </c>
      <c r="K4" s="8">
        <v>800000</v>
      </c>
      <c r="L4" s="1">
        <f t="shared" ref="L4:L8" si="2">K4/30</f>
        <v>26666.666666666668</v>
      </c>
      <c r="M4" s="9">
        <v>30</v>
      </c>
      <c r="N4" s="4">
        <f t="shared" si="0"/>
        <v>102854</v>
      </c>
      <c r="O4" s="7">
        <v>102854</v>
      </c>
      <c r="P4" s="1">
        <f t="shared" ref="P4:P15" si="3">N4/30</f>
        <v>3428.4666666666667</v>
      </c>
      <c r="Q4" s="1">
        <f>T4+S4</f>
        <v>958587.33333333337</v>
      </c>
      <c r="R4" s="10">
        <f>L4*M4</f>
        <v>800000</v>
      </c>
      <c r="S4" s="10">
        <f>P4*M4</f>
        <v>102854</v>
      </c>
      <c r="T4" s="10">
        <f>R4+U4</f>
        <v>855733.33333333337</v>
      </c>
      <c r="U4" s="1">
        <f>(W4*D4)+(E4*V4)+(F4*X4)+(Y4*H4)+(I4*Z4)+(AA4*G4)+(C4*AB4)</f>
        <v>55733.333333333336</v>
      </c>
      <c r="V4" s="19">
        <v>2</v>
      </c>
      <c r="W4" s="19">
        <v>2</v>
      </c>
      <c r="X4" s="19">
        <v>0</v>
      </c>
      <c r="Y4" s="19">
        <v>0</v>
      </c>
      <c r="Z4" s="19">
        <v>2</v>
      </c>
      <c r="AA4" s="19">
        <v>2</v>
      </c>
      <c r="AB4" s="18">
        <v>2</v>
      </c>
      <c r="AC4" s="6">
        <f t="shared" ref="AC4:AC15" si="4">T4*4%</f>
        <v>34229.333333333336</v>
      </c>
      <c r="AD4" s="6">
        <f t="shared" ref="AD4:AD15" si="5">T4*4%</f>
        <v>34229.333333333336</v>
      </c>
      <c r="AE4" s="6">
        <f>Q4-AC4-AD4</f>
        <v>890128.66666666663</v>
      </c>
      <c r="AF4" s="1" t="b">
        <f t="shared" ref="AF4:AF15" si="6">IF(Q4&gt;(4*J4),T4*1%)</f>
        <v>0</v>
      </c>
      <c r="AG4" s="1">
        <f t="shared" ref="AG4:AG8" si="7">(T4+S4)*8.33%</f>
        <v>79850.324866666662</v>
      </c>
      <c r="AH4" s="1">
        <f t="shared" ref="AH4:AH8" si="8">(T4+S4)*8.33%</f>
        <v>79850.324866666662</v>
      </c>
    </row>
    <row r="5" spans="2:37" x14ac:dyDescent="0.25">
      <c r="B5" s="1">
        <f t="shared" ref="B5:B15" si="9">L5/8</f>
        <v>4666.666666666667</v>
      </c>
      <c r="C5" s="1">
        <f t="shared" si="1"/>
        <v>5833.3333333333339</v>
      </c>
      <c r="D5" s="1">
        <f t="shared" ref="D5:D15" si="10">B5+B5*0.75</f>
        <v>8166.666666666667</v>
      </c>
      <c r="E5" s="1">
        <f t="shared" ref="E5:E15" si="11">B5+B5</f>
        <v>9333.3333333333339</v>
      </c>
      <c r="F5" s="1">
        <f t="shared" ref="F5:F15" si="12">E5+B5*0.5</f>
        <v>11666.666666666668</v>
      </c>
      <c r="G5" s="1">
        <f t="shared" ref="G5:G15" si="13">B5+B5*0.35</f>
        <v>6300</v>
      </c>
      <c r="H5" s="1">
        <f t="shared" ref="H5:H15" si="14">B5+B5*0.75</f>
        <v>8166.666666666667</v>
      </c>
      <c r="I5" s="1">
        <f t="shared" ref="I5:I15" si="15">B5+B5+B5*0.01</f>
        <v>9380</v>
      </c>
      <c r="J5" s="14">
        <v>877802</v>
      </c>
      <c r="K5" s="8">
        <v>1120000</v>
      </c>
      <c r="L5" s="1">
        <f t="shared" si="2"/>
        <v>37333.333333333336</v>
      </c>
      <c r="M5" s="9">
        <v>25</v>
      </c>
      <c r="N5" s="4">
        <f t="shared" si="0"/>
        <v>102854</v>
      </c>
      <c r="O5" s="7">
        <v>102854</v>
      </c>
      <c r="P5" s="1">
        <f t="shared" si="3"/>
        <v>3428.4666666666667</v>
      </c>
      <c r="Q5" s="1">
        <f t="shared" ref="Q5:Q15" si="16">T5+S5</f>
        <v>1217611.6666666667</v>
      </c>
      <c r="R5" s="10">
        <f t="shared" ref="R5:R15" si="17">L5*M5</f>
        <v>933333.33333333337</v>
      </c>
      <c r="S5" s="10">
        <f t="shared" ref="S5:S15" si="18">P5*M5</f>
        <v>85711.666666666672</v>
      </c>
      <c r="T5" s="10">
        <f t="shared" ref="T5:T15" si="19">R5+U5</f>
        <v>1131900</v>
      </c>
      <c r="U5" s="1">
        <f t="shared" ref="U5:U15" si="20">(W5*D5)+(E5*V5)+(F5*X5)+(Y5*H5)+(I5*Z5)+(AA5*G5)+(C5*AB5)</f>
        <v>198566.66666666669</v>
      </c>
      <c r="V5" s="19">
        <v>0</v>
      </c>
      <c r="W5" s="19">
        <v>0</v>
      </c>
      <c r="X5" s="19">
        <v>0</v>
      </c>
      <c r="Y5" s="19">
        <v>3</v>
      </c>
      <c r="Z5" s="19">
        <v>5</v>
      </c>
      <c r="AA5" s="19">
        <v>10</v>
      </c>
      <c r="AB5" s="18">
        <v>11</v>
      </c>
      <c r="AC5" s="6">
        <f t="shared" si="4"/>
        <v>45276</v>
      </c>
      <c r="AD5" s="6">
        <f t="shared" si="5"/>
        <v>45276</v>
      </c>
      <c r="AE5" s="6">
        <f t="shared" ref="AE5:AE15" si="21">Q5-AC5-AD5</f>
        <v>1127059.6666666667</v>
      </c>
      <c r="AF5" s="1" t="b">
        <f t="shared" si="6"/>
        <v>0</v>
      </c>
      <c r="AG5" s="1">
        <f t="shared" si="7"/>
        <v>101427.05183333335</v>
      </c>
      <c r="AH5" s="1">
        <f t="shared" si="8"/>
        <v>101427.05183333335</v>
      </c>
    </row>
    <row r="6" spans="2:37" x14ac:dyDescent="0.25">
      <c r="B6" s="1">
        <f t="shared" si="9"/>
        <v>14583.333333333334</v>
      </c>
      <c r="C6" s="1">
        <f t="shared" si="1"/>
        <v>18229.166666666668</v>
      </c>
      <c r="D6" s="1">
        <f t="shared" si="10"/>
        <v>25520.833333333336</v>
      </c>
      <c r="E6" s="1">
        <f t="shared" si="11"/>
        <v>29166.666666666668</v>
      </c>
      <c r="F6" s="1">
        <f t="shared" si="12"/>
        <v>36458.333333333336</v>
      </c>
      <c r="G6" s="1">
        <f t="shared" si="13"/>
        <v>19687.5</v>
      </c>
      <c r="H6" s="1">
        <f t="shared" si="14"/>
        <v>25520.833333333336</v>
      </c>
      <c r="I6" s="1">
        <f t="shared" si="15"/>
        <v>29312.5</v>
      </c>
      <c r="J6" s="14">
        <v>877802</v>
      </c>
      <c r="K6" s="8">
        <v>3500000</v>
      </c>
      <c r="L6" s="1">
        <f t="shared" si="2"/>
        <v>116666.66666666667</v>
      </c>
      <c r="M6" s="9">
        <v>30</v>
      </c>
      <c r="N6" s="4" t="b">
        <f t="shared" si="0"/>
        <v>0</v>
      </c>
      <c r="O6" s="7">
        <v>102854</v>
      </c>
      <c r="P6" s="1">
        <f t="shared" si="3"/>
        <v>0</v>
      </c>
      <c r="Q6" s="1">
        <f t="shared" si="16"/>
        <v>3645833.3333333335</v>
      </c>
      <c r="R6" s="10">
        <f t="shared" si="17"/>
        <v>3500000</v>
      </c>
      <c r="S6" s="10">
        <f t="shared" si="18"/>
        <v>0</v>
      </c>
      <c r="T6" s="10">
        <f t="shared" si="19"/>
        <v>3645833.3333333335</v>
      </c>
      <c r="U6" s="1">
        <f t="shared" si="20"/>
        <v>145833.33333333334</v>
      </c>
      <c r="V6" s="19">
        <v>5</v>
      </c>
      <c r="W6" s="19">
        <v>0</v>
      </c>
      <c r="X6" s="19"/>
      <c r="Y6" s="19"/>
      <c r="Z6" s="19"/>
      <c r="AA6" s="19"/>
      <c r="AB6" s="18"/>
      <c r="AC6" s="6">
        <f t="shared" si="4"/>
        <v>145833.33333333334</v>
      </c>
      <c r="AD6" s="6">
        <f t="shared" si="5"/>
        <v>145833.33333333334</v>
      </c>
      <c r="AE6" s="6">
        <f t="shared" si="21"/>
        <v>3354166.6666666665</v>
      </c>
      <c r="AF6" s="1">
        <f t="shared" si="6"/>
        <v>36458.333333333336</v>
      </c>
      <c r="AG6" s="1">
        <f t="shared" si="7"/>
        <v>303697.91666666669</v>
      </c>
      <c r="AH6" s="1">
        <f t="shared" si="8"/>
        <v>303697.91666666669</v>
      </c>
    </row>
    <row r="7" spans="2:37" x14ac:dyDescent="0.25">
      <c r="B7" s="1">
        <f t="shared" si="9"/>
        <v>20833.333333333332</v>
      </c>
      <c r="C7" s="1">
        <f t="shared" si="1"/>
        <v>26041.666666666664</v>
      </c>
      <c r="D7" s="1">
        <f t="shared" si="10"/>
        <v>36458.333333333328</v>
      </c>
      <c r="E7" s="1">
        <f t="shared" si="11"/>
        <v>41666.666666666664</v>
      </c>
      <c r="F7" s="1">
        <f t="shared" si="12"/>
        <v>52083.333333333328</v>
      </c>
      <c r="G7" s="1">
        <f t="shared" si="13"/>
        <v>28125</v>
      </c>
      <c r="H7" s="1">
        <f t="shared" si="14"/>
        <v>36458.333333333328</v>
      </c>
      <c r="I7" s="1">
        <f t="shared" si="15"/>
        <v>41875</v>
      </c>
      <c r="J7" s="14">
        <v>877802</v>
      </c>
      <c r="K7" s="8">
        <v>5000000</v>
      </c>
      <c r="L7" s="1">
        <f t="shared" si="2"/>
        <v>166666.66666666666</v>
      </c>
      <c r="M7" s="9">
        <v>29</v>
      </c>
      <c r="N7" s="4" t="b">
        <f t="shared" si="0"/>
        <v>0</v>
      </c>
      <c r="O7" s="7">
        <v>102854</v>
      </c>
      <c r="P7" s="1">
        <f t="shared" si="3"/>
        <v>0</v>
      </c>
      <c r="Q7" s="1">
        <f t="shared" si="16"/>
        <v>5390625</v>
      </c>
      <c r="R7" s="10">
        <f t="shared" si="17"/>
        <v>4833333.333333333</v>
      </c>
      <c r="S7" s="10">
        <f t="shared" si="18"/>
        <v>0</v>
      </c>
      <c r="T7" s="10">
        <f t="shared" si="19"/>
        <v>5390625</v>
      </c>
      <c r="U7" s="1">
        <f t="shared" si="20"/>
        <v>557291.66666666663</v>
      </c>
      <c r="V7" s="19">
        <v>0</v>
      </c>
      <c r="W7" s="19">
        <v>0</v>
      </c>
      <c r="X7" s="19">
        <v>7</v>
      </c>
      <c r="Y7" s="19">
        <v>0</v>
      </c>
      <c r="Z7" s="19">
        <v>0</v>
      </c>
      <c r="AA7" s="19">
        <v>5</v>
      </c>
      <c r="AB7" s="18">
        <v>2</v>
      </c>
      <c r="AC7" s="6">
        <f t="shared" si="4"/>
        <v>215625</v>
      </c>
      <c r="AD7" s="6">
        <f t="shared" si="5"/>
        <v>215625</v>
      </c>
      <c r="AE7" s="6">
        <f t="shared" si="21"/>
        <v>4959375</v>
      </c>
      <c r="AF7" s="1">
        <f t="shared" si="6"/>
        <v>53906.25</v>
      </c>
      <c r="AG7" s="1">
        <f t="shared" si="7"/>
        <v>449039.0625</v>
      </c>
      <c r="AH7" s="1">
        <f t="shared" si="8"/>
        <v>449039.0625</v>
      </c>
    </row>
    <row r="8" spans="2:37" x14ac:dyDescent="0.25">
      <c r="B8" s="1">
        <f t="shared" si="9"/>
        <v>3657.5083333333332</v>
      </c>
      <c r="C8" s="1">
        <f t="shared" si="1"/>
        <v>4571.8854166666661</v>
      </c>
      <c r="D8" s="1">
        <f t="shared" si="10"/>
        <v>6400.6395833333336</v>
      </c>
      <c r="E8" s="1">
        <f t="shared" si="11"/>
        <v>7315.0166666666664</v>
      </c>
      <c r="F8" s="1">
        <f t="shared" si="12"/>
        <v>9143.7708333333321</v>
      </c>
      <c r="G8" s="1">
        <f t="shared" si="13"/>
        <v>4937.6362499999996</v>
      </c>
      <c r="H8" s="1">
        <f t="shared" si="14"/>
        <v>6400.6395833333336</v>
      </c>
      <c r="I8" s="1">
        <f t="shared" si="15"/>
        <v>7351.5917499999996</v>
      </c>
      <c r="J8" s="14">
        <v>877802</v>
      </c>
      <c r="K8" s="8">
        <v>877802</v>
      </c>
      <c r="L8" s="1">
        <f t="shared" si="2"/>
        <v>29260.066666666666</v>
      </c>
      <c r="M8" s="9">
        <v>30</v>
      </c>
      <c r="N8" s="4">
        <f t="shared" si="0"/>
        <v>102854</v>
      </c>
      <c r="O8" s="7">
        <v>102854</v>
      </c>
      <c r="P8" s="1">
        <f t="shared" si="3"/>
        <v>3428.4666666666667</v>
      </c>
      <c r="Q8" s="1">
        <f t="shared" si="16"/>
        <v>980656</v>
      </c>
      <c r="R8" s="10">
        <f t="shared" si="17"/>
        <v>877802</v>
      </c>
      <c r="S8" s="10">
        <f t="shared" si="18"/>
        <v>102854</v>
      </c>
      <c r="T8" s="10">
        <f t="shared" si="19"/>
        <v>877802</v>
      </c>
      <c r="U8" s="1">
        <f t="shared" si="20"/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8">
        <v>0</v>
      </c>
      <c r="AC8" s="6">
        <f t="shared" si="4"/>
        <v>35112.080000000002</v>
      </c>
      <c r="AD8" s="6">
        <f t="shared" si="5"/>
        <v>35112.080000000002</v>
      </c>
      <c r="AE8" s="6">
        <f t="shared" si="21"/>
        <v>910431.84000000008</v>
      </c>
      <c r="AF8" s="1" t="b">
        <f t="shared" si="6"/>
        <v>0</v>
      </c>
      <c r="AG8" s="1">
        <f t="shared" si="7"/>
        <v>81688.644799999995</v>
      </c>
      <c r="AH8" s="1">
        <f t="shared" si="8"/>
        <v>81688.644799999995</v>
      </c>
    </row>
    <row r="9" spans="2:37" x14ac:dyDescent="0.25">
      <c r="B9" s="1">
        <f t="shared" si="9"/>
        <v>0</v>
      </c>
      <c r="C9" s="1">
        <f t="shared" si="1"/>
        <v>0</v>
      </c>
      <c r="D9" s="1">
        <f t="shared" si="10"/>
        <v>0</v>
      </c>
      <c r="E9" s="1">
        <f t="shared" si="11"/>
        <v>0</v>
      </c>
      <c r="F9" s="1">
        <f t="shared" si="12"/>
        <v>0</v>
      </c>
      <c r="G9" s="1">
        <f t="shared" si="13"/>
        <v>0</v>
      </c>
      <c r="H9" s="1">
        <f t="shared" si="14"/>
        <v>0</v>
      </c>
      <c r="I9" s="1">
        <f t="shared" si="15"/>
        <v>0</v>
      </c>
      <c r="J9" s="14">
        <v>877802</v>
      </c>
      <c r="K9" s="8"/>
      <c r="L9" s="1"/>
      <c r="M9" s="9"/>
      <c r="N9" s="4"/>
      <c r="O9" s="7">
        <v>102854</v>
      </c>
      <c r="P9" s="1">
        <f t="shared" si="3"/>
        <v>0</v>
      </c>
      <c r="Q9" s="1">
        <f t="shared" si="16"/>
        <v>0</v>
      </c>
      <c r="R9" s="10">
        <f t="shared" si="17"/>
        <v>0</v>
      </c>
      <c r="S9" s="10">
        <f t="shared" si="18"/>
        <v>0</v>
      </c>
      <c r="T9" s="10">
        <f t="shared" si="19"/>
        <v>0</v>
      </c>
      <c r="U9" s="1">
        <f t="shared" si="20"/>
        <v>0</v>
      </c>
      <c r="V9" s="19"/>
      <c r="W9" s="19"/>
      <c r="X9" s="19"/>
      <c r="Y9" s="19"/>
      <c r="Z9" s="19"/>
      <c r="AA9" s="19"/>
      <c r="AB9" s="18"/>
      <c r="AC9" s="6">
        <f t="shared" si="4"/>
        <v>0</v>
      </c>
      <c r="AD9" s="6">
        <f t="shared" si="5"/>
        <v>0</v>
      </c>
      <c r="AE9" s="6">
        <f t="shared" si="21"/>
        <v>0</v>
      </c>
      <c r="AF9" s="1" t="b">
        <f t="shared" si="6"/>
        <v>0</v>
      </c>
      <c r="AG9" s="1"/>
      <c r="AH9" s="1"/>
    </row>
    <row r="10" spans="2:37" x14ac:dyDescent="0.25">
      <c r="B10" s="1">
        <f t="shared" si="9"/>
        <v>0</v>
      </c>
      <c r="C10" s="1">
        <f t="shared" si="1"/>
        <v>0</v>
      </c>
      <c r="D10" s="1">
        <f t="shared" si="10"/>
        <v>0</v>
      </c>
      <c r="E10" s="1">
        <f t="shared" si="11"/>
        <v>0</v>
      </c>
      <c r="F10" s="1">
        <f t="shared" si="12"/>
        <v>0</v>
      </c>
      <c r="G10" s="1">
        <f t="shared" si="13"/>
        <v>0</v>
      </c>
      <c r="H10" s="1">
        <f t="shared" si="14"/>
        <v>0</v>
      </c>
      <c r="I10" s="1">
        <f t="shared" si="15"/>
        <v>0</v>
      </c>
      <c r="J10" s="14">
        <v>877802</v>
      </c>
      <c r="K10" s="8"/>
      <c r="L10" s="1"/>
      <c r="M10" s="9"/>
      <c r="N10" s="4"/>
      <c r="O10" s="7">
        <v>102854</v>
      </c>
      <c r="P10" s="1">
        <f t="shared" si="3"/>
        <v>0</v>
      </c>
      <c r="Q10" s="1">
        <f t="shared" si="16"/>
        <v>0</v>
      </c>
      <c r="R10" s="10">
        <f t="shared" si="17"/>
        <v>0</v>
      </c>
      <c r="S10" s="10">
        <f t="shared" si="18"/>
        <v>0</v>
      </c>
      <c r="T10" s="10">
        <f t="shared" si="19"/>
        <v>0</v>
      </c>
      <c r="U10" s="1">
        <f t="shared" si="20"/>
        <v>0</v>
      </c>
      <c r="V10" s="19"/>
      <c r="W10" s="19"/>
      <c r="X10" s="19"/>
      <c r="Y10" s="19"/>
      <c r="Z10" s="19"/>
      <c r="AA10" s="19"/>
      <c r="AB10" s="18"/>
      <c r="AC10" s="6">
        <f t="shared" si="4"/>
        <v>0</v>
      </c>
      <c r="AD10" s="6">
        <f t="shared" si="5"/>
        <v>0</v>
      </c>
      <c r="AE10" s="6">
        <f t="shared" si="21"/>
        <v>0</v>
      </c>
      <c r="AF10" s="1" t="b">
        <f t="shared" si="6"/>
        <v>0</v>
      </c>
      <c r="AG10" s="1"/>
      <c r="AH10" s="1"/>
    </row>
    <row r="11" spans="2:37" x14ac:dyDescent="0.25">
      <c r="B11" s="1">
        <f t="shared" si="9"/>
        <v>0</v>
      </c>
      <c r="C11" s="1">
        <f t="shared" si="1"/>
        <v>0</v>
      </c>
      <c r="D11" s="1">
        <f t="shared" si="10"/>
        <v>0</v>
      </c>
      <c r="E11" s="1">
        <f t="shared" si="11"/>
        <v>0</v>
      </c>
      <c r="F11" s="1">
        <f t="shared" si="12"/>
        <v>0</v>
      </c>
      <c r="G11" s="1">
        <f t="shared" si="13"/>
        <v>0</v>
      </c>
      <c r="H11" s="1">
        <f t="shared" si="14"/>
        <v>0</v>
      </c>
      <c r="I11" s="1">
        <f t="shared" si="15"/>
        <v>0</v>
      </c>
      <c r="J11" s="14">
        <v>877802</v>
      </c>
      <c r="K11" s="8"/>
      <c r="L11" s="1"/>
      <c r="M11" s="9"/>
      <c r="N11" s="4"/>
      <c r="O11" s="7">
        <v>102854</v>
      </c>
      <c r="P11" s="1">
        <f t="shared" si="3"/>
        <v>0</v>
      </c>
      <c r="Q11" s="1">
        <f t="shared" si="16"/>
        <v>0</v>
      </c>
      <c r="R11" s="10">
        <f t="shared" si="17"/>
        <v>0</v>
      </c>
      <c r="S11" s="10">
        <f t="shared" si="18"/>
        <v>0</v>
      </c>
      <c r="T11" s="10">
        <f t="shared" si="19"/>
        <v>0</v>
      </c>
      <c r="U11" s="1">
        <f t="shared" si="20"/>
        <v>0</v>
      </c>
      <c r="V11" s="19"/>
      <c r="W11" s="19"/>
      <c r="X11" s="19"/>
      <c r="Y11" s="19"/>
      <c r="Z11" s="19"/>
      <c r="AA11" s="19"/>
      <c r="AB11" s="18"/>
      <c r="AC11" s="6">
        <f t="shared" si="4"/>
        <v>0</v>
      </c>
      <c r="AD11" s="6">
        <f t="shared" si="5"/>
        <v>0</v>
      </c>
      <c r="AE11" s="6">
        <f t="shared" si="21"/>
        <v>0</v>
      </c>
      <c r="AF11" s="1" t="b">
        <f t="shared" si="6"/>
        <v>0</v>
      </c>
      <c r="AG11" s="1"/>
      <c r="AH11" s="1"/>
    </row>
    <row r="12" spans="2:37" x14ac:dyDescent="0.25">
      <c r="B12" s="1">
        <f t="shared" si="9"/>
        <v>0</v>
      </c>
      <c r="C12" s="1">
        <f t="shared" si="1"/>
        <v>0</v>
      </c>
      <c r="D12" s="1">
        <f t="shared" si="10"/>
        <v>0</v>
      </c>
      <c r="E12" s="1">
        <f t="shared" si="11"/>
        <v>0</v>
      </c>
      <c r="F12" s="1">
        <f t="shared" si="12"/>
        <v>0</v>
      </c>
      <c r="G12" s="1">
        <f t="shared" si="13"/>
        <v>0</v>
      </c>
      <c r="H12" s="1">
        <f t="shared" si="14"/>
        <v>0</v>
      </c>
      <c r="I12" s="1">
        <f t="shared" si="15"/>
        <v>0</v>
      </c>
      <c r="J12" s="14">
        <v>877802</v>
      </c>
      <c r="K12" s="8"/>
      <c r="L12" s="1"/>
      <c r="M12" s="9"/>
      <c r="N12" s="4"/>
      <c r="O12" s="7">
        <v>102854</v>
      </c>
      <c r="P12" s="1">
        <f t="shared" si="3"/>
        <v>0</v>
      </c>
      <c r="Q12" s="1">
        <f t="shared" si="16"/>
        <v>0</v>
      </c>
      <c r="R12" s="10">
        <f t="shared" si="17"/>
        <v>0</v>
      </c>
      <c r="S12" s="10">
        <f t="shared" si="18"/>
        <v>0</v>
      </c>
      <c r="T12" s="10">
        <f t="shared" si="19"/>
        <v>0</v>
      </c>
      <c r="U12" s="1">
        <f t="shared" si="20"/>
        <v>0</v>
      </c>
      <c r="V12" s="19"/>
      <c r="W12" s="19"/>
      <c r="X12" s="19"/>
      <c r="Y12" s="19"/>
      <c r="Z12" s="19"/>
      <c r="AA12" s="19"/>
      <c r="AB12" s="18"/>
      <c r="AC12" s="6">
        <f t="shared" si="4"/>
        <v>0</v>
      </c>
      <c r="AD12" s="6">
        <f t="shared" si="5"/>
        <v>0</v>
      </c>
      <c r="AE12" s="6">
        <f t="shared" si="21"/>
        <v>0</v>
      </c>
      <c r="AF12" s="1" t="b">
        <f t="shared" si="6"/>
        <v>0</v>
      </c>
      <c r="AG12" s="1"/>
      <c r="AH12" s="1"/>
    </row>
    <row r="13" spans="2:37" x14ac:dyDescent="0.25">
      <c r="B13" s="1">
        <f t="shared" si="9"/>
        <v>0</v>
      </c>
      <c r="C13" s="1">
        <f t="shared" si="1"/>
        <v>0</v>
      </c>
      <c r="D13" s="1">
        <f t="shared" si="10"/>
        <v>0</v>
      </c>
      <c r="E13" s="1">
        <f t="shared" si="11"/>
        <v>0</v>
      </c>
      <c r="F13" s="1">
        <f t="shared" si="12"/>
        <v>0</v>
      </c>
      <c r="G13" s="1">
        <f t="shared" si="13"/>
        <v>0</v>
      </c>
      <c r="H13" s="1">
        <f t="shared" si="14"/>
        <v>0</v>
      </c>
      <c r="I13" s="1">
        <f t="shared" si="15"/>
        <v>0</v>
      </c>
      <c r="J13" s="14">
        <v>877802</v>
      </c>
      <c r="K13" s="8"/>
      <c r="L13" s="1"/>
      <c r="M13" s="9"/>
      <c r="N13" s="4">
        <f>IF(K13&lt;(2*SMMLV),O15)</f>
        <v>0</v>
      </c>
      <c r="O13" s="7">
        <v>102854</v>
      </c>
      <c r="P13" s="1">
        <f t="shared" si="3"/>
        <v>0</v>
      </c>
      <c r="Q13" s="1">
        <f t="shared" si="16"/>
        <v>0</v>
      </c>
      <c r="R13" s="10">
        <f t="shared" si="17"/>
        <v>0</v>
      </c>
      <c r="S13" s="10">
        <f t="shared" si="18"/>
        <v>0</v>
      </c>
      <c r="T13" s="10">
        <f t="shared" si="19"/>
        <v>0</v>
      </c>
      <c r="U13" s="1">
        <f t="shared" si="20"/>
        <v>0</v>
      </c>
      <c r="V13" s="19"/>
      <c r="W13" s="19"/>
      <c r="X13" s="19"/>
      <c r="Y13" s="19"/>
      <c r="Z13" s="19"/>
      <c r="AA13" s="19"/>
      <c r="AB13" s="18"/>
      <c r="AC13" s="6">
        <f t="shared" si="4"/>
        <v>0</v>
      </c>
      <c r="AD13" s="6">
        <f t="shared" si="5"/>
        <v>0</v>
      </c>
      <c r="AE13" s="6">
        <f t="shared" si="21"/>
        <v>0</v>
      </c>
      <c r="AF13" s="1" t="b">
        <f t="shared" si="6"/>
        <v>0</v>
      </c>
      <c r="AG13" s="1"/>
      <c r="AH13" s="1"/>
    </row>
    <row r="14" spans="2:37" x14ac:dyDescent="0.25">
      <c r="B14" s="1">
        <f t="shared" si="9"/>
        <v>0</v>
      </c>
      <c r="C14" s="1">
        <f t="shared" si="1"/>
        <v>0</v>
      </c>
      <c r="D14" s="1">
        <f t="shared" si="10"/>
        <v>0</v>
      </c>
      <c r="E14" s="1">
        <f t="shared" si="11"/>
        <v>0</v>
      </c>
      <c r="F14" s="1">
        <f t="shared" si="12"/>
        <v>0</v>
      </c>
      <c r="G14" s="1">
        <f t="shared" si="13"/>
        <v>0</v>
      </c>
      <c r="H14" s="1">
        <f t="shared" si="14"/>
        <v>0</v>
      </c>
      <c r="I14" s="1">
        <f t="shared" si="15"/>
        <v>0</v>
      </c>
      <c r="J14" s="14">
        <v>877802</v>
      </c>
      <c r="K14" s="8"/>
      <c r="L14" s="1"/>
      <c r="M14" s="9"/>
      <c r="N14" s="4">
        <f>IF(K14&lt;(2*SMMLV),O16)</f>
        <v>0</v>
      </c>
      <c r="O14" s="7">
        <v>102854</v>
      </c>
      <c r="P14" s="1">
        <f t="shared" si="3"/>
        <v>0</v>
      </c>
      <c r="Q14" s="1">
        <f t="shared" si="16"/>
        <v>0</v>
      </c>
      <c r="R14" s="10">
        <f t="shared" si="17"/>
        <v>0</v>
      </c>
      <c r="S14" s="10">
        <f t="shared" si="18"/>
        <v>0</v>
      </c>
      <c r="T14" s="10">
        <f t="shared" si="19"/>
        <v>0</v>
      </c>
      <c r="U14" s="1">
        <f t="shared" si="20"/>
        <v>0</v>
      </c>
      <c r="V14" s="19"/>
      <c r="W14" s="19"/>
      <c r="X14" s="19"/>
      <c r="Y14" s="19"/>
      <c r="Z14" s="19"/>
      <c r="AA14" s="19"/>
      <c r="AB14" s="18"/>
      <c r="AC14" s="6">
        <f t="shared" si="4"/>
        <v>0</v>
      </c>
      <c r="AD14" s="6">
        <f t="shared" si="5"/>
        <v>0</v>
      </c>
      <c r="AE14" s="6">
        <f t="shared" si="21"/>
        <v>0</v>
      </c>
      <c r="AF14" s="1" t="b">
        <f t="shared" si="6"/>
        <v>0</v>
      </c>
      <c r="AG14" s="1"/>
      <c r="AH14" s="1"/>
    </row>
    <row r="15" spans="2:37" x14ac:dyDescent="0.25">
      <c r="B15" s="1">
        <f t="shared" si="9"/>
        <v>0</v>
      </c>
      <c r="C15" s="1">
        <f t="shared" si="1"/>
        <v>0</v>
      </c>
      <c r="D15" s="1">
        <f t="shared" si="10"/>
        <v>0</v>
      </c>
      <c r="E15" s="1">
        <f t="shared" si="11"/>
        <v>0</v>
      </c>
      <c r="F15" s="1">
        <f t="shared" si="12"/>
        <v>0</v>
      </c>
      <c r="G15" s="1">
        <f t="shared" si="13"/>
        <v>0</v>
      </c>
      <c r="H15" s="1">
        <f t="shared" si="14"/>
        <v>0</v>
      </c>
      <c r="I15" s="1">
        <f t="shared" si="15"/>
        <v>0</v>
      </c>
      <c r="J15" s="14"/>
      <c r="K15" s="8"/>
      <c r="L15" s="1"/>
      <c r="M15" s="9"/>
      <c r="N15" s="4"/>
      <c r="O15" s="7"/>
      <c r="P15" s="1">
        <f t="shared" si="3"/>
        <v>0</v>
      </c>
      <c r="Q15" s="1">
        <f t="shared" si="16"/>
        <v>0</v>
      </c>
      <c r="R15" s="10">
        <f t="shared" si="17"/>
        <v>0</v>
      </c>
      <c r="S15" s="10">
        <f t="shared" si="18"/>
        <v>0</v>
      </c>
      <c r="T15" s="10">
        <f t="shared" si="19"/>
        <v>0</v>
      </c>
      <c r="U15" s="1">
        <f t="shared" si="20"/>
        <v>0</v>
      </c>
      <c r="V15" s="19"/>
      <c r="W15" s="19"/>
      <c r="X15" s="19"/>
      <c r="Y15" s="19"/>
      <c r="Z15" s="19"/>
      <c r="AA15" s="19"/>
      <c r="AB15" s="18"/>
      <c r="AC15" s="6">
        <f t="shared" si="4"/>
        <v>0</v>
      </c>
      <c r="AD15" s="6">
        <f t="shared" si="5"/>
        <v>0</v>
      </c>
      <c r="AE15" s="6">
        <f t="shared" si="21"/>
        <v>0</v>
      </c>
      <c r="AF15" s="1" t="b">
        <f t="shared" si="6"/>
        <v>0</v>
      </c>
      <c r="AG15" s="1"/>
      <c r="AH15" s="1"/>
    </row>
    <row r="16" spans="2:37" x14ac:dyDescent="0.25">
      <c r="B16" s="1"/>
      <c r="C16" s="1"/>
      <c r="D16" s="1"/>
      <c r="E16" s="1"/>
      <c r="F16" s="1"/>
      <c r="G16" s="1"/>
      <c r="H16" s="1"/>
      <c r="I16" s="1"/>
      <c r="J16" s="15"/>
      <c r="K16" s="10"/>
      <c r="L16" s="1"/>
      <c r="M16" s="4"/>
      <c r="N16" s="4"/>
      <c r="O16" s="10"/>
      <c r="P16" s="1"/>
      <c r="Q16" s="1"/>
      <c r="R16" s="1"/>
      <c r="S16" s="1"/>
      <c r="T16" s="1"/>
      <c r="U16" s="1"/>
      <c r="V16" s="13"/>
      <c r="W16" s="13"/>
      <c r="X16" s="13"/>
      <c r="Y16" s="13"/>
      <c r="Z16" s="13"/>
      <c r="AA16" s="13"/>
      <c r="AB16" s="13"/>
      <c r="AC16" s="6"/>
      <c r="AD16" s="6"/>
      <c r="AE16" s="6"/>
    </row>
    <row r="17" spans="2:31" x14ac:dyDescent="0.25">
      <c r="B17" s="1"/>
      <c r="C17" s="1"/>
      <c r="D17" s="1"/>
      <c r="E17" s="1"/>
      <c r="F17" s="1"/>
      <c r="G17" s="1"/>
      <c r="H17" s="1"/>
      <c r="I17" s="1"/>
      <c r="J17" s="15"/>
      <c r="K17" s="10"/>
      <c r="L17" s="1"/>
      <c r="M17" s="1"/>
      <c r="N17" s="1"/>
      <c r="O17" s="10"/>
      <c r="P17" s="1"/>
      <c r="Q17" s="1"/>
      <c r="R17" s="1"/>
      <c r="S17" s="1"/>
      <c r="T17" s="1"/>
      <c r="U17" s="1"/>
      <c r="V17" s="13"/>
      <c r="W17" s="13"/>
      <c r="X17" s="13"/>
      <c r="Y17" s="13"/>
      <c r="Z17" s="13"/>
      <c r="AA17" s="13"/>
      <c r="AB17" s="13"/>
      <c r="AC17" s="6"/>
      <c r="AD17" s="6"/>
      <c r="AE17" s="6"/>
    </row>
    <row r="18" spans="2:31" x14ac:dyDescent="0.25">
      <c r="B18" s="1"/>
      <c r="C18" s="1"/>
      <c r="D18" s="1"/>
      <c r="E18" s="1"/>
      <c r="F18" s="1"/>
      <c r="G18" s="1"/>
      <c r="H18" s="1"/>
      <c r="I18" s="1"/>
      <c r="J18" s="15"/>
      <c r="K18" s="10"/>
      <c r="L18" s="1"/>
      <c r="M18" s="1"/>
      <c r="N18" s="1"/>
      <c r="O18" s="10"/>
      <c r="P18" s="1"/>
      <c r="Q18" s="1"/>
      <c r="R18" s="1"/>
      <c r="S18" s="1"/>
      <c r="T18" s="1"/>
      <c r="U18" s="1"/>
      <c r="V18" s="13"/>
      <c r="W18" s="13"/>
      <c r="X18" s="13"/>
      <c r="Y18" s="13"/>
      <c r="Z18" s="13"/>
      <c r="AA18" s="13"/>
      <c r="AB18" s="21">
        <v>5106</v>
      </c>
      <c r="AC18" s="6"/>
      <c r="AD18" s="6"/>
      <c r="AE18" s="6"/>
    </row>
    <row r="19" spans="2:31" x14ac:dyDescent="0.25">
      <c r="B19" s="6"/>
      <c r="C19" s="6"/>
      <c r="D19" s="6"/>
      <c r="E19" s="6"/>
      <c r="F19" s="6"/>
      <c r="G19" s="6"/>
      <c r="H19" s="6"/>
      <c r="I19" s="6"/>
      <c r="J19" s="16"/>
      <c r="K19" s="11"/>
      <c r="L19" s="6"/>
      <c r="M19" s="6"/>
      <c r="N19" s="6"/>
      <c r="O19" s="11"/>
      <c r="P19" s="6"/>
      <c r="Q19" s="6"/>
      <c r="R19" s="6"/>
      <c r="S19" s="6"/>
      <c r="T19" s="6"/>
      <c r="U19" s="6"/>
      <c r="V19" s="13"/>
      <c r="W19" s="13"/>
      <c r="X19" s="13"/>
      <c r="Y19" s="13"/>
      <c r="Z19" s="13"/>
      <c r="AA19" s="13" t="s">
        <v>72</v>
      </c>
      <c r="AB19" s="13"/>
      <c r="AC19" s="20">
        <v>5</v>
      </c>
      <c r="AD19" s="6" t="s">
        <v>76</v>
      </c>
      <c r="AE19" s="6"/>
    </row>
    <row r="20" spans="2:31" x14ac:dyDescent="0.25">
      <c r="B20" s="6"/>
      <c r="C20" s="6"/>
      <c r="D20" s="6"/>
      <c r="E20" s="6"/>
      <c r="F20" s="6"/>
      <c r="G20" s="6"/>
      <c r="H20" s="6"/>
      <c r="I20" s="6"/>
      <c r="J20" s="16"/>
      <c r="K20" s="11"/>
      <c r="L20" s="6"/>
      <c r="M20" s="6"/>
      <c r="N20" s="6"/>
      <c r="O20" s="11"/>
      <c r="P20" s="6"/>
      <c r="Q20" s="6"/>
      <c r="R20" s="6"/>
      <c r="S20" s="6"/>
      <c r="T20" s="6"/>
      <c r="U20" s="6"/>
      <c r="V20" s="13"/>
      <c r="W20" s="13"/>
      <c r="X20" s="13"/>
      <c r="Y20" s="13"/>
      <c r="Z20" s="13"/>
      <c r="AA20" s="13" t="s">
        <v>73</v>
      </c>
      <c r="AB20" s="13"/>
      <c r="AC20" s="20">
        <v>51</v>
      </c>
      <c r="AD20" s="6" t="s">
        <v>77</v>
      </c>
      <c r="AE20" s="6"/>
    </row>
    <row r="21" spans="2:31" x14ac:dyDescent="0.25">
      <c r="B21" s="6"/>
      <c r="C21" s="6"/>
      <c r="D21" s="6"/>
      <c r="E21" s="6"/>
      <c r="F21" s="6"/>
      <c r="G21" s="6"/>
      <c r="H21" s="6"/>
      <c r="I21" s="6"/>
      <c r="J21" s="16"/>
      <c r="K21" s="11"/>
      <c r="L21" s="6"/>
      <c r="M21" s="6"/>
      <c r="N21" s="6"/>
      <c r="O21" s="11"/>
      <c r="P21" s="6"/>
      <c r="Q21" s="6"/>
      <c r="R21" s="6"/>
      <c r="S21" s="6"/>
      <c r="T21" s="6"/>
      <c r="U21" s="6"/>
      <c r="V21" s="13"/>
      <c r="W21" s="13"/>
      <c r="X21" s="13"/>
      <c r="Y21" s="13"/>
      <c r="Z21" s="13"/>
      <c r="AA21" s="13" t="s">
        <v>74</v>
      </c>
      <c r="AB21" s="13"/>
      <c r="AC21" s="20">
        <v>5106</v>
      </c>
      <c r="AD21" s="6" t="s">
        <v>78</v>
      </c>
      <c r="AE21" s="6"/>
    </row>
    <row r="22" spans="2:31" x14ac:dyDescent="0.25">
      <c r="B22" s="6"/>
      <c r="C22" s="6"/>
      <c r="D22" s="6"/>
      <c r="E22" s="6"/>
      <c r="F22" s="6"/>
      <c r="G22" s="6"/>
      <c r="H22" s="6"/>
      <c r="I22" s="6"/>
      <c r="J22" s="16"/>
      <c r="K22" s="11"/>
      <c r="L22" s="6"/>
      <c r="M22" s="6"/>
      <c r="N22" s="6"/>
      <c r="O22" s="11"/>
      <c r="P22" s="6"/>
      <c r="Q22" s="6"/>
      <c r="R22" s="6"/>
      <c r="S22" s="6"/>
      <c r="T22" s="6"/>
      <c r="U22" s="6"/>
      <c r="V22" s="13"/>
      <c r="W22" s="13"/>
      <c r="X22" s="13"/>
      <c r="Y22" s="13"/>
      <c r="Z22" s="13"/>
      <c r="AA22" s="13" t="s">
        <v>75</v>
      </c>
      <c r="AB22" s="13"/>
      <c r="AC22" s="20">
        <v>510506</v>
      </c>
      <c r="AD22" s="6" t="s">
        <v>79</v>
      </c>
      <c r="AE22" s="6"/>
    </row>
    <row r="23" spans="2:31" x14ac:dyDescent="0.25">
      <c r="V23" s="13"/>
      <c r="W23" s="13"/>
      <c r="X23" s="13"/>
      <c r="Y23" s="13"/>
      <c r="Z23" s="13"/>
      <c r="AA23" s="13"/>
      <c r="AB23" s="13"/>
      <c r="AC23" s="6"/>
      <c r="AD23" s="6"/>
      <c r="AE23" s="6"/>
    </row>
    <row r="24" spans="2:31" x14ac:dyDescent="0.25">
      <c r="V24" s="13"/>
      <c r="W24" s="13"/>
      <c r="X24" s="13"/>
      <c r="Y24" s="13"/>
      <c r="Z24" s="13"/>
      <c r="AA24" s="13"/>
      <c r="AB24" s="13"/>
      <c r="AC24" s="6"/>
      <c r="AD24" s="6"/>
      <c r="AE24" s="6"/>
    </row>
    <row r="25" spans="2:31" x14ac:dyDescent="0.25">
      <c r="V25" s="13"/>
      <c r="W25" s="13"/>
      <c r="X25" s="13"/>
      <c r="Y25" s="13"/>
      <c r="Z25" s="13"/>
      <c r="AA25" s="13"/>
      <c r="AB25" s="13"/>
    </row>
    <row r="26" spans="2:31" x14ac:dyDescent="0.25">
      <c r="V26" s="13"/>
      <c r="W26" s="13"/>
      <c r="X26" s="13"/>
      <c r="Y26" s="13"/>
      <c r="Z26" s="13"/>
      <c r="AA26" s="13"/>
      <c r="AB26" s="13"/>
    </row>
    <row r="27" spans="2:31" x14ac:dyDescent="0.25">
      <c r="V27" s="13"/>
      <c r="W27" s="13"/>
      <c r="X27" s="13"/>
      <c r="Y27" s="13"/>
      <c r="Z27" s="13"/>
      <c r="AA27" s="13"/>
      <c r="AB27" s="13"/>
    </row>
    <row r="28" spans="2:31" x14ac:dyDescent="0.25">
      <c r="V28" s="13"/>
      <c r="W28" s="13"/>
      <c r="X28" s="13"/>
      <c r="Y28" s="13"/>
      <c r="Z28" s="13"/>
      <c r="AA28" s="13"/>
      <c r="AB28" s="13"/>
    </row>
  </sheetData>
  <mergeCells count="23">
    <mergeCell ref="Z1:Z2"/>
    <mergeCell ref="AA1:AA2"/>
    <mergeCell ref="AB1:AB2"/>
    <mergeCell ref="AC1:AC2"/>
    <mergeCell ref="AD1:AD2"/>
    <mergeCell ref="AE1:AE2"/>
    <mergeCell ref="V1:V2"/>
    <mergeCell ref="W1:W2"/>
    <mergeCell ref="X1:X2"/>
    <mergeCell ref="O1:O2"/>
    <mergeCell ref="AG1:AG2"/>
    <mergeCell ref="AH1:AH2"/>
    <mergeCell ref="C1:C2"/>
    <mergeCell ref="B1:B2"/>
    <mergeCell ref="D1:D2"/>
    <mergeCell ref="E1:E2"/>
    <mergeCell ref="F1:F2"/>
    <mergeCell ref="G1:G2"/>
    <mergeCell ref="H1:H2"/>
    <mergeCell ref="I1:I2"/>
    <mergeCell ref="J1:J2"/>
    <mergeCell ref="K1:K2"/>
    <mergeCell ref="Y1:Y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"/>
  <sheetViews>
    <sheetView tabSelected="1" topLeftCell="AC1" zoomScale="80" zoomScaleNormal="80" workbookViewId="0">
      <selection activeCell="AP8" sqref="AP8"/>
    </sheetView>
  </sheetViews>
  <sheetFormatPr baseColWidth="10" defaultRowHeight="15" x14ac:dyDescent="0.25"/>
  <cols>
    <col min="2" max="2" width="12" bestFit="1" customWidth="1"/>
    <col min="10" max="10" width="14.42578125" style="17" customWidth="1"/>
    <col min="11" max="11" width="12.85546875" style="12" bestFit="1" customWidth="1"/>
    <col min="14" max="14" width="12.7109375" bestFit="1" customWidth="1"/>
    <col min="15" max="15" width="13.7109375" style="12" customWidth="1"/>
    <col min="16" max="16" width="15.42578125" customWidth="1"/>
    <col min="17" max="17" width="14.85546875" customWidth="1"/>
    <col min="18" max="18" width="21.5703125" customWidth="1"/>
    <col min="19" max="22" width="14" customWidth="1"/>
    <col min="23" max="29" width="11.42578125" style="12"/>
    <col min="30" max="30" width="13.140625" customWidth="1"/>
    <col min="31" max="31" width="14.140625" customWidth="1"/>
    <col min="32" max="32" width="18.140625" customWidth="1"/>
    <col min="33" max="33" width="16.85546875" customWidth="1"/>
    <col min="34" max="34" width="18.85546875" customWidth="1"/>
    <col min="35" max="36" width="22.140625" customWidth="1"/>
    <col min="37" max="37" width="20.85546875" customWidth="1"/>
    <col min="38" max="38" width="12.85546875" customWidth="1"/>
    <col min="39" max="39" width="14" customWidth="1"/>
    <col min="40" max="40" width="13.5703125" customWidth="1"/>
    <col min="41" max="41" width="13.85546875" bestFit="1" customWidth="1"/>
    <col min="42" max="42" width="14.28515625" customWidth="1"/>
  </cols>
  <sheetData>
    <row r="1" spans="1:42" ht="16.5" customHeight="1" x14ac:dyDescent="0.25">
      <c r="B1" s="44" t="s">
        <v>42</v>
      </c>
      <c r="C1" s="44" t="s">
        <v>40</v>
      </c>
      <c r="D1" s="44" t="s">
        <v>41</v>
      </c>
      <c r="E1" s="44" t="s">
        <v>45</v>
      </c>
      <c r="F1" s="44" t="s">
        <v>59</v>
      </c>
      <c r="G1" s="50" t="s">
        <v>62</v>
      </c>
      <c r="H1" s="45" t="s">
        <v>60</v>
      </c>
      <c r="I1" s="51" t="s">
        <v>61</v>
      </c>
      <c r="J1" s="45" t="s">
        <v>69</v>
      </c>
      <c r="K1" s="45" t="s">
        <v>83</v>
      </c>
      <c r="L1" s="32" t="s">
        <v>85</v>
      </c>
      <c r="M1" s="32" t="s">
        <v>86</v>
      </c>
      <c r="N1" s="32" t="s">
        <v>88</v>
      </c>
      <c r="O1" s="45" t="s">
        <v>68</v>
      </c>
      <c r="P1" s="32" t="s">
        <v>93</v>
      </c>
      <c r="Q1" s="38" t="s">
        <v>95</v>
      </c>
      <c r="R1" s="32" t="s">
        <v>4</v>
      </c>
      <c r="S1" s="32" t="s">
        <v>92</v>
      </c>
      <c r="T1" s="32" t="s">
        <v>93</v>
      </c>
      <c r="U1" s="32" t="s">
        <v>83</v>
      </c>
      <c r="V1" s="33" t="s">
        <v>97</v>
      </c>
      <c r="W1" s="45" t="s">
        <v>99</v>
      </c>
      <c r="X1" s="45" t="s">
        <v>100</v>
      </c>
      <c r="Y1" s="45" t="s">
        <v>101</v>
      </c>
      <c r="Z1" s="45" t="s">
        <v>102</v>
      </c>
      <c r="AA1" s="45" t="s">
        <v>103</v>
      </c>
      <c r="AB1" s="45" t="s">
        <v>104</v>
      </c>
      <c r="AC1" s="45" t="s">
        <v>105</v>
      </c>
      <c r="AD1" s="45" t="s">
        <v>120</v>
      </c>
      <c r="AE1" s="45" t="s">
        <v>111</v>
      </c>
      <c r="AF1" s="32" t="s">
        <v>80</v>
      </c>
      <c r="AG1" s="32" t="s">
        <v>106</v>
      </c>
      <c r="AH1" s="32" t="s">
        <v>108</v>
      </c>
      <c r="AI1" s="45" t="s">
        <v>110</v>
      </c>
      <c r="AJ1" s="45" t="s">
        <v>127</v>
      </c>
      <c r="AK1" s="45" t="s">
        <v>112</v>
      </c>
      <c r="AL1" s="47" t="s">
        <v>82</v>
      </c>
      <c r="AM1" s="48"/>
      <c r="AN1" s="49"/>
      <c r="AO1" s="45" t="s">
        <v>116</v>
      </c>
    </row>
    <row r="2" spans="1:42" ht="21" customHeight="1" x14ac:dyDescent="0.25">
      <c r="B2" s="44"/>
      <c r="C2" s="44"/>
      <c r="D2" s="44"/>
      <c r="E2" s="44"/>
      <c r="F2" s="44"/>
      <c r="G2" s="50"/>
      <c r="H2" s="46"/>
      <c r="I2" s="52"/>
      <c r="J2" s="46"/>
      <c r="K2" s="46"/>
      <c r="L2" s="29" t="s">
        <v>84</v>
      </c>
      <c r="M2" s="29" t="s">
        <v>87</v>
      </c>
      <c r="N2" s="29" t="s">
        <v>89</v>
      </c>
      <c r="O2" s="46"/>
      <c r="P2" s="29" t="s">
        <v>84</v>
      </c>
      <c r="Q2" s="39" t="s">
        <v>94</v>
      </c>
      <c r="R2" s="29" t="s">
        <v>91</v>
      </c>
      <c r="S2" s="29" t="s">
        <v>90</v>
      </c>
      <c r="T2" s="29" t="s">
        <v>90</v>
      </c>
      <c r="U2" s="29" t="s">
        <v>96</v>
      </c>
      <c r="V2" s="34" t="s">
        <v>98</v>
      </c>
      <c r="W2" s="46"/>
      <c r="X2" s="46"/>
      <c r="Y2" s="46"/>
      <c r="Z2" s="46"/>
      <c r="AA2" s="46"/>
      <c r="AB2" s="46"/>
      <c r="AC2" s="46"/>
      <c r="AD2" s="46"/>
      <c r="AE2" s="46"/>
      <c r="AF2" s="30" t="s">
        <v>81</v>
      </c>
      <c r="AG2" s="29" t="s">
        <v>107</v>
      </c>
      <c r="AH2" s="29" t="s">
        <v>109</v>
      </c>
      <c r="AI2" s="46"/>
      <c r="AJ2" s="46"/>
      <c r="AK2" s="46"/>
      <c r="AL2" s="41" t="s">
        <v>113</v>
      </c>
      <c r="AM2" s="40" t="s">
        <v>114</v>
      </c>
      <c r="AN2" s="41" t="s">
        <v>115</v>
      </c>
      <c r="AO2" s="46"/>
    </row>
    <row r="3" spans="1:42" x14ac:dyDescent="0.25">
      <c r="B3" s="1">
        <f>SMMLVD/8</f>
        <v>3657.5083333333332</v>
      </c>
      <c r="C3" s="1">
        <f>B3+B3*0.25</f>
        <v>4571.8854166666661</v>
      </c>
      <c r="D3" s="1">
        <f>VHN+VHN*0.75</f>
        <v>6400.6395833333336</v>
      </c>
      <c r="E3" s="1">
        <f>VHN+VHN</f>
        <v>7315.0166666666664</v>
      </c>
      <c r="F3" s="1">
        <f>VHN+VHN+VHN*0.5</f>
        <v>9143.7708333333321</v>
      </c>
      <c r="G3" s="1">
        <f>VHN+VHN*0.35</f>
        <v>4937.6362499999996</v>
      </c>
      <c r="H3" s="1">
        <f>VHN+VHN*0.75</f>
        <v>6400.6395833333336</v>
      </c>
      <c r="I3" s="1">
        <f>VHN+VHN+VHN*0.01</f>
        <v>7351.5917499999996</v>
      </c>
      <c r="J3" s="14">
        <v>877802</v>
      </c>
      <c r="K3" s="8">
        <v>877802</v>
      </c>
      <c r="L3" s="1">
        <f>K3/30</f>
        <v>29260.066666666666</v>
      </c>
      <c r="M3" s="9">
        <v>30</v>
      </c>
      <c r="N3" s="4">
        <f t="shared" ref="N3:N8" si="0">IF(K3&lt;(2*SMMLV),O5)</f>
        <v>102854</v>
      </c>
      <c r="O3" s="7">
        <v>102854</v>
      </c>
      <c r="P3" s="1">
        <f>N3/30</f>
        <v>3428.4666666666667</v>
      </c>
      <c r="Q3" s="1">
        <f>U3+T3</f>
        <v>1122384.4479166665</v>
      </c>
      <c r="R3" s="1">
        <f>K3+N3</f>
        <v>980656</v>
      </c>
      <c r="S3" s="10">
        <f>SMMLVD*DT</f>
        <v>877802</v>
      </c>
      <c r="T3" s="10">
        <f>SuTD*DT</f>
        <v>102854</v>
      </c>
      <c r="U3" s="10">
        <f>SBA+SD</f>
        <v>1019530.4479166666</v>
      </c>
      <c r="V3" s="1">
        <f>(N_HEFD*VHEFD)+(VHEN*X3)+(N_HED*VHED)+(VHEFN*Y3)+(Z3*VHRFD)+(VHRN*AB3)+(AA3*VHRFN)</f>
        <v>141728.44791666663</v>
      </c>
      <c r="W3" s="19">
        <v>10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18">
        <v>15</v>
      </c>
      <c r="AD3" s="6">
        <f>U3*8.5%</f>
        <v>86660.088072916667</v>
      </c>
      <c r="AE3" s="6">
        <f>U3*12%</f>
        <v>122343.65375</v>
      </c>
      <c r="AF3" s="6">
        <f>SD+T3+SBA+EPS+Pe+AH3+AI3+AJ3+AK3+AL3+AM3+AN3+AO3</f>
        <v>1696217.5766924163</v>
      </c>
      <c r="AG3" s="1" t="b">
        <f>IF(Q3&gt;(4*J3),U3*1%)</f>
        <v>0</v>
      </c>
      <c r="AH3" s="1">
        <f>AI3*12%</f>
        <v>11219.354941374997</v>
      </c>
      <c r="AI3" s="1">
        <f t="shared" ref="AI3:AI9" si="1">(U3+T3)*8.33%</f>
        <v>93494.624511458314</v>
      </c>
      <c r="AJ3" s="1">
        <f>(U3+T3)*4.17%</f>
        <v>46803.431478124992</v>
      </c>
      <c r="AK3" s="1">
        <f>(U3+T3)*8.33%</f>
        <v>93494.624511458314</v>
      </c>
      <c r="AL3" s="6">
        <f>U3*2%</f>
        <v>20390.608958333334</v>
      </c>
      <c r="AM3" s="6">
        <f>U3*3%</f>
        <v>30585.913437499999</v>
      </c>
      <c r="AN3" s="6">
        <f>U3*4%</f>
        <v>40781.217916666668</v>
      </c>
      <c r="AO3" s="1">
        <f>(U3+N3)*2.5%</f>
        <v>28059.611197916664</v>
      </c>
    </row>
    <row r="4" spans="1:42" x14ac:dyDescent="0.25">
      <c r="B4" s="1">
        <f>L4/8</f>
        <v>3333.3333333333335</v>
      </c>
      <c r="C4" s="1">
        <f t="shared" ref="C4:C15" si="2">B4+B4*0.25</f>
        <v>4166.666666666667</v>
      </c>
      <c r="D4" s="1">
        <f>B4+B4*0.75</f>
        <v>5833.3333333333339</v>
      </c>
      <c r="E4" s="1">
        <f>B4+B4</f>
        <v>6666.666666666667</v>
      </c>
      <c r="F4" s="1">
        <f>E4+B4*0.5</f>
        <v>8333.3333333333339</v>
      </c>
      <c r="G4" s="1">
        <f>B4+B4*0.35</f>
        <v>4500</v>
      </c>
      <c r="H4" s="1">
        <f>B4+B4*0.75</f>
        <v>5833.3333333333339</v>
      </c>
      <c r="I4" s="1">
        <f>B4+B4+B4*0.01</f>
        <v>6700</v>
      </c>
      <c r="J4" s="14">
        <v>877802</v>
      </c>
      <c r="K4" s="8">
        <v>800000</v>
      </c>
      <c r="L4" s="1">
        <f t="shared" ref="L4:L8" si="3">K4/30</f>
        <v>26666.666666666668</v>
      </c>
      <c r="M4" s="9">
        <v>30</v>
      </c>
      <c r="N4" s="4">
        <f t="shared" si="0"/>
        <v>102854</v>
      </c>
      <c r="O4" s="7">
        <v>102854</v>
      </c>
      <c r="P4" s="1">
        <f t="shared" ref="P4:P14" si="4">N4/30</f>
        <v>3428.4666666666667</v>
      </c>
      <c r="Q4" s="1">
        <f>U4+T4</f>
        <v>958587.33333333337</v>
      </c>
      <c r="R4" s="1">
        <f t="shared" ref="R4:R15" si="5">K4+N4</f>
        <v>902854</v>
      </c>
      <c r="S4" s="10">
        <f>L4*M4</f>
        <v>800000</v>
      </c>
      <c r="T4" s="10">
        <f>P4*M4</f>
        <v>102854</v>
      </c>
      <c r="U4" s="10">
        <f>S4+V4</f>
        <v>855733.33333333337</v>
      </c>
      <c r="V4" s="1">
        <f>(X4*D4)+(E4*W4)+(F4*Y4)+(Z4*H4)+(I4*AA4)+(AB4*G4)+(C4*AC4)</f>
        <v>55733.333333333336</v>
      </c>
      <c r="W4" s="19">
        <v>2</v>
      </c>
      <c r="X4" s="19">
        <v>2</v>
      </c>
      <c r="Y4" s="19">
        <v>0</v>
      </c>
      <c r="Z4" s="19">
        <v>0</v>
      </c>
      <c r="AA4" s="19">
        <v>2</v>
      </c>
      <c r="AB4" s="19">
        <v>2</v>
      </c>
      <c r="AC4" s="18">
        <v>2</v>
      </c>
      <c r="AD4" s="6">
        <f t="shared" ref="AD4:AD15" si="6">U4*8.5%</f>
        <v>72737.333333333343</v>
      </c>
      <c r="AE4" s="6">
        <f t="shared" ref="AE4:AE15" si="7">U4*12%</f>
        <v>102688</v>
      </c>
      <c r="AF4" s="6">
        <f>Q4-AD4-AE4</f>
        <v>783162</v>
      </c>
      <c r="AG4" s="1" t="b">
        <f t="shared" ref="AG4:AG8" si="8">IF(Q4&gt;(4*J4),U4*1%)</f>
        <v>0</v>
      </c>
      <c r="AH4" s="1">
        <f t="shared" ref="AH4:AH15" si="9">AI4*12%</f>
        <v>9582.0389839999989</v>
      </c>
      <c r="AI4" s="1">
        <f t="shared" si="1"/>
        <v>79850.324866666662</v>
      </c>
      <c r="AJ4" s="1">
        <f t="shared" ref="AJ4:AJ8" si="10">(U4+T4)*4.17%</f>
        <v>39973.091800000002</v>
      </c>
      <c r="AK4" s="1">
        <f t="shared" ref="AK4:AK15" si="11">(U4+T4)*8.33%</f>
        <v>79850.324866666662</v>
      </c>
      <c r="AL4" s="6">
        <f t="shared" ref="AL4:AL8" si="12">U4*2%</f>
        <v>17114.666666666668</v>
      </c>
      <c r="AM4" s="6">
        <f t="shared" ref="AM4:AM8" si="13">U4*3%</f>
        <v>25672</v>
      </c>
      <c r="AN4" s="6">
        <f t="shared" ref="AN4:AN8" si="14">U4*4%</f>
        <v>34229.333333333336</v>
      </c>
      <c r="AO4" s="1">
        <f t="shared" ref="AO4:AO8" si="15">(U4+N4)*2.5%</f>
        <v>23964.683333333334</v>
      </c>
    </row>
    <row r="5" spans="1:42" x14ac:dyDescent="0.25">
      <c r="B5" s="1">
        <f t="shared" ref="B5:B15" si="16">L5/8</f>
        <v>4666.666666666667</v>
      </c>
      <c r="C5" s="1">
        <f t="shared" si="2"/>
        <v>5833.3333333333339</v>
      </c>
      <c r="D5" s="1">
        <f t="shared" ref="D5:D15" si="17">B5+B5*0.75</f>
        <v>8166.666666666667</v>
      </c>
      <c r="E5" s="1">
        <f t="shared" ref="E5:E15" si="18">B5+B5</f>
        <v>9333.3333333333339</v>
      </c>
      <c r="F5" s="1">
        <f t="shared" ref="F5:F15" si="19">E5+B5*0.5</f>
        <v>11666.666666666668</v>
      </c>
      <c r="G5" s="1">
        <f t="shared" ref="G5:G15" si="20">B5+B5*0.35</f>
        <v>6300</v>
      </c>
      <c r="H5" s="1">
        <f t="shared" ref="H5:H15" si="21">B5+B5*0.75</f>
        <v>8166.666666666667</v>
      </c>
      <c r="I5" s="1">
        <f t="shared" ref="I5:I15" si="22">B5+B5+B5*0.01</f>
        <v>9380</v>
      </c>
      <c r="J5" s="14">
        <v>877802</v>
      </c>
      <c r="K5" s="8">
        <v>1120000</v>
      </c>
      <c r="L5" s="1">
        <f t="shared" si="3"/>
        <v>37333.333333333336</v>
      </c>
      <c r="M5" s="9">
        <v>25</v>
      </c>
      <c r="N5" s="4">
        <f t="shared" si="0"/>
        <v>102854</v>
      </c>
      <c r="O5" s="7">
        <v>102854</v>
      </c>
      <c r="P5" s="1">
        <f t="shared" si="4"/>
        <v>3428.4666666666667</v>
      </c>
      <c r="Q5" s="1">
        <f t="shared" ref="Q5:Q15" si="23">U5+T5</f>
        <v>1217611.6666666667</v>
      </c>
      <c r="R5" s="1">
        <f t="shared" si="5"/>
        <v>1222854</v>
      </c>
      <c r="S5" s="10">
        <f t="shared" ref="S5:S15" si="24">L5*M5</f>
        <v>933333.33333333337</v>
      </c>
      <c r="T5" s="10">
        <f t="shared" ref="T5:T15" si="25">P5*M5</f>
        <v>85711.666666666672</v>
      </c>
      <c r="U5" s="10">
        <f t="shared" ref="U5:U15" si="26">S5+V5</f>
        <v>1131900</v>
      </c>
      <c r="V5" s="1">
        <f t="shared" ref="V5:V15" si="27">(X5*D5)+(E5*W5)+(F5*Y5)+(Z5*H5)+(I5*AA5)+(AB5*G5)+(C5*AC5)</f>
        <v>198566.66666666669</v>
      </c>
      <c r="W5" s="19">
        <v>0</v>
      </c>
      <c r="X5" s="19">
        <v>0</v>
      </c>
      <c r="Y5" s="19">
        <v>0</v>
      </c>
      <c r="Z5" s="19">
        <v>3</v>
      </c>
      <c r="AA5" s="19">
        <v>5</v>
      </c>
      <c r="AB5" s="19">
        <v>10</v>
      </c>
      <c r="AC5" s="18">
        <v>11</v>
      </c>
      <c r="AD5" s="6">
        <f t="shared" si="6"/>
        <v>96211.5</v>
      </c>
      <c r="AE5" s="6">
        <f t="shared" si="7"/>
        <v>135828</v>
      </c>
      <c r="AF5" s="6">
        <f t="shared" ref="AF5:AF15" si="28">Q5-AD5-AE5</f>
        <v>985572.16666666674</v>
      </c>
      <c r="AG5" s="1" t="b">
        <f t="shared" si="8"/>
        <v>0</v>
      </c>
      <c r="AH5" s="1">
        <f t="shared" si="9"/>
        <v>12171.246220000001</v>
      </c>
      <c r="AI5" s="1">
        <f t="shared" si="1"/>
        <v>101427.05183333335</v>
      </c>
      <c r="AJ5" s="1">
        <f t="shared" si="10"/>
        <v>50774.406500000005</v>
      </c>
      <c r="AK5" s="1">
        <f t="shared" si="11"/>
        <v>101427.05183333335</v>
      </c>
      <c r="AL5" s="6">
        <f t="shared" si="12"/>
        <v>22638</v>
      </c>
      <c r="AM5" s="6">
        <f t="shared" si="13"/>
        <v>33957</v>
      </c>
      <c r="AN5" s="6">
        <f t="shared" si="14"/>
        <v>45276</v>
      </c>
      <c r="AO5" s="1">
        <f t="shared" si="15"/>
        <v>30868.850000000002</v>
      </c>
    </row>
    <row r="6" spans="1:42" x14ac:dyDescent="0.25">
      <c r="B6" s="1">
        <f t="shared" si="16"/>
        <v>14583.333333333334</v>
      </c>
      <c r="C6" s="1">
        <f t="shared" si="2"/>
        <v>18229.166666666668</v>
      </c>
      <c r="D6" s="1">
        <f t="shared" si="17"/>
        <v>25520.833333333336</v>
      </c>
      <c r="E6" s="1">
        <f t="shared" si="18"/>
        <v>29166.666666666668</v>
      </c>
      <c r="F6" s="1">
        <f t="shared" si="19"/>
        <v>36458.333333333336</v>
      </c>
      <c r="G6" s="1">
        <f t="shared" si="20"/>
        <v>19687.5</v>
      </c>
      <c r="H6" s="1">
        <f t="shared" si="21"/>
        <v>25520.833333333336</v>
      </c>
      <c r="I6" s="1">
        <f t="shared" si="22"/>
        <v>29312.5</v>
      </c>
      <c r="J6" s="14">
        <v>877802</v>
      </c>
      <c r="K6" s="8">
        <v>3500000</v>
      </c>
      <c r="L6" s="1">
        <f t="shared" si="3"/>
        <v>116666.66666666667</v>
      </c>
      <c r="M6" s="9">
        <v>30</v>
      </c>
      <c r="N6" s="4" t="b">
        <f t="shared" si="0"/>
        <v>0</v>
      </c>
      <c r="O6" s="7">
        <v>102854</v>
      </c>
      <c r="P6" s="1">
        <f t="shared" si="4"/>
        <v>0</v>
      </c>
      <c r="Q6" s="1">
        <f t="shared" si="23"/>
        <v>3645833.3333333335</v>
      </c>
      <c r="R6" s="1">
        <f t="shared" si="5"/>
        <v>3500000</v>
      </c>
      <c r="S6" s="10">
        <f t="shared" si="24"/>
        <v>3500000</v>
      </c>
      <c r="T6" s="10">
        <f t="shared" si="25"/>
        <v>0</v>
      </c>
      <c r="U6" s="10">
        <f t="shared" si="26"/>
        <v>3645833.3333333335</v>
      </c>
      <c r="V6" s="1">
        <f t="shared" si="27"/>
        <v>145833.33333333334</v>
      </c>
      <c r="W6" s="19">
        <v>5</v>
      </c>
      <c r="X6" s="19">
        <v>0</v>
      </c>
      <c r="Y6" s="19"/>
      <c r="Z6" s="19"/>
      <c r="AA6" s="19"/>
      <c r="AB6" s="19"/>
      <c r="AC6" s="18"/>
      <c r="AD6" s="6">
        <f t="shared" si="6"/>
        <v>309895.83333333337</v>
      </c>
      <c r="AE6" s="6">
        <f t="shared" si="7"/>
        <v>437500</v>
      </c>
      <c r="AF6" s="6">
        <f t="shared" si="28"/>
        <v>2898437.5</v>
      </c>
      <c r="AG6" s="1">
        <f t="shared" si="8"/>
        <v>36458.333333333336</v>
      </c>
      <c r="AH6" s="1">
        <f t="shared" si="9"/>
        <v>36443.75</v>
      </c>
      <c r="AI6" s="1">
        <f t="shared" si="1"/>
        <v>303697.91666666669</v>
      </c>
      <c r="AJ6" s="1">
        <f t="shared" si="10"/>
        <v>152031.25</v>
      </c>
      <c r="AK6" s="1">
        <f t="shared" si="11"/>
        <v>303697.91666666669</v>
      </c>
      <c r="AL6" s="6">
        <f t="shared" si="12"/>
        <v>72916.666666666672</v>
      </c>
      <c r="AM6" s="6">
        <f t="shared" si="13"/>
        <v>109375</v>
      </c>
      <c r="AN6" s="6">
        <f t="shared" si="14"/>
        <v>145833.33333333334</v>
      </c>
      <c r="AO6" s="1">
        <f t="shared" si="15"/>
        <v>91145.833333333343</v>
      </c>
    </row>
    <row r="7" spans="1:42" x14ac:dyDescent="0.25">
      <c r="B7" s="1">
        <f t="shared" si="16"/>
        <v>20833.333333333332</v>
      </c>
      <c r="C7" s="1">
        <f t="shared" si="2"/>
        <v>26041.666666666664</v>
      </c>
      <c r="D7" s="1">
        <f t="shared" si="17"/>
        <v>36458.333333333328</v>
      </c>
      <c r="E7" s="1">
        <f t="shared" si="18"/>
        <v>41666.666666666664</v>
      </c>
      <c r="F7" s="1">
        <f t="shared" si="19"/>
        <v>52083.333333333328</v>
      </c>
      <c r="G7" s="1">
        <f t="shared" si="20"/>
        <v>28125</v>
      </c>
      <c r="H7" s="1">
        <f t="shared" si="21"/>
        <v>36458.333333333328</v>
      </c>
      <c r="I7" s="1">
        <f t="shared" si="22"/>
        <v>41875</v>
      </c>
      <c r="J7" s="14">
        <v>877802</v>
      </c>
      <c r="K7" s="8">
        <v>5000000</v>
      </c>
      <c r="L7" s="1">
        <f t="shared" si="3"/>
        <v>166666.66666666666</v>
      </c>
      <c r="M7" s="9">
        <v>29</v>
      </c>
      <c r="N7" s="4" t="b">
        <f t="shared" si="0"/>
        <v>0</v>
      </c>
      <c r="O7" s="7">
        <v>102854</v>
      </c>
      <c r="P7" s="1">
        <f t="shared" si="4"/>
        <v>0</v>
      </c>
      <c r="Q7" s="1">
        <f t="shared" si="23"/>
        <v>5390625</v>
      </c>
      <c r="R7" s="1">
        <f t="shared" si="5"/>
        <v>5000000</v>
      </c>
      <c r="S7" s="10">
        <f t="shared" si="24"/>
        <v>4833333.333333333</v>
      </c>
      <c r="T7" s="10">
        <f t="shared" si="25"/>
        <v>0</v>
      </c>
      <c r="U7" s="10">
        <f t="shared" si="26"/>
        <v>5390625</v>
      </c>
      <c r="V7" s="1">
        <f t="shared" si="27"/>
        <v>557291.66666666663</v>
      </c>
      <c r="W7" s="19">
        <v>0</v>
      </c>
      <c r="X7" s="19">
        <v>0</v>
      </c>
      <c r="Y7" s="19">
        <v>7</v>
      </c>
      <c r="Z7" s="19">
        <v>0</v>
      </c>
      <c r="AA7" s="19">
        <v>0</v>
      </c>
      <c r="AB7" s="19">
        <v>5</v>
      </c>
      <c r="AC7" s="18">
        <v>2</v>
      </c>
      <c r="AD7" s="6">
        <f t="shared" si="6"/>
        <v>458203.12500000006</v>
      </c>
      <c r="AE7" s="6">
        <f t="shared" si="7"/>
        <v>646875</v>
      </c>
      <c r="AF7" s="6">
        <f t="shared" si="28"/>
        <v>4285546.875</v>
      </c>
      <c r="AG7" s="1">
        <f t="shared" si="8"/>
        <v>53906.25</v>
      </c>
      <c r="AH7" s="1">
        <f t="shared" si="9"/>
        <v>53884.6875</v>
      </c>
      <c r="AI7" s="1">
        <f t="shared" si="1"/>
        <v>449039.0625</v>
      </c>
      <c r="AJ7" s="1">
        <f t="shared" si="10"/>
        <v>224789.0625</v>
      </c>
      <c r="AK7" s="1">
        <f t="shared" si="11"/>
        <v>449039.0625</v>
      </c>
      <c r="AL7" s="6">
        <f t="shared" si="12"/>
        <v>107812.5</v>
      </c>
      <c r="AM7" s="6">
        <f t="shared" si="13"/>
        <v>161718.75</v>
      </c>
      <c r="AN7" s="6">
        <f t="shared" si="14"/>
        <v>215625</v>
      </c>
      <c r="AO7" s="1">
        <f t="shared" si="15"/>
        <v>134765.625</v>
      </c>
    </row>
    <row r="8" spans="1:42" s="28" customFormat="1" x14ac:dyDescent="0.25">
      <c r="A8" s="12"/>
      <c r="B8" s="22">
        <f t="shared" si="16"/>
        <v>3657.5083333333332</v>
      </c>
      <c r="C8" s="22">
        <f t="shared" si="2"/>
        <v>4571.8854166666661</v>
      </c>
      <c r="D8" s="22">
        <f t="shared" si="17"/>
        <v>6400.6395833333336</v>
      </c>
      <c r="E8" s="22">
        <f t="shared" si="18"/>
        <v>7315.0166666666664</v>
      </c>
      <c r="F8" s="22">
        <f t="shared" si="19"/>
        <v>9143.7708333333321</v>
      </c>
      <c r="G8" s="22">
        <f t="shared" si="20"/>
        <v>4937.6362499999996</v>
      </c>
      <c r="H8" s="22">
        <f t="shared" si="21"/>
        <v>6400.6395833333336</v>
      </c>
      <c r="I8" s="22">
        <f t="shared" si="22"/>
        <v>7351.5917499999996</v>
      </c>
      <c r="J8" s="23">
        <v>877802</v>
      </c>
      <c r="K8" s="22">
        <v>877802</v>
      </c>
      <c r="L8" s="22">
        <f t="shared" si="3"/>
        <v>29260.066666666666</v>
      </c>
      <c r="M8" s="24">
        <v>30</v>
      </c>
      <c r="N8" s="24">
        <f t="shared" si="0"/>
        <v>102854</v>
      </c>
      <c r="O8" s="22">
        <v>102854</v>
      </c>
      <c r="P8" s="22">
        <f t="shared" si="4"/>
        <v>3428.4666666666667</v>
      </c>
      <c r="Q8" s="22">
        <f>S8+T8</f>
        <v>980656</v>
      </c>
      <c r="R8" s="22">
        <f t="shared" si="5"/>
        <v>980656</v>
      </c>
      <c r="S8" s="22">
        <f t="shared" si="24"/>
        <v>877802</v>
      </c>
      <c r="T8" s="22">
        <f t="shared" si="25"/>
        <v>102854</v>
      </c>
      <c r="U8" s="22">
        <f t="shared" si="26"/>
        <v>877802</v>
      </c>
      <c r="V8" s="22">
        <f t="shared" si="27"/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6">
        <v>0</v>
      </c>
      <c r="AD8" s="27">
        <f t="shared" si="6"/>
        <v>74613.17</v>
      </c>
      <c r="AE8" s="27">
        <f t="shared" si="7"/>
        <v>105336.23999999999</v>
      </c>
      <c r="AF8" s="27">
        <f>Q8+AG8+AH8+AI8+AJ8+AK8+AL8+AM8+AN8+AO8+AE8+AD8</f>
        <v>1478197.2721759998</v>
      </c>
      <c r="AG8" s="22" t="b">
        <f t="shared" si="8"/>
        <v>0</v>
      </c>
      <c r="AH8" s="22">
        <f t="shared" si="9"/>
        <v>9802.6373759999988</v>
      </c>
      <c r="AI8" s="22">
        <f t="shared" si="1"/>
        <v>81688.644799999995</v>
      </c>
      <c r="AJ8" s="22">
        <f t="shared" si="10"/>
        <v>40893.355199999998</v>
      </c>
      <c r="AK8" s="22">
        <f t="shared" si="11"/>
        <v>81688.644799999995</v>
      </c>
      <c r="AL8" s="27">
        <f t="shared" si="12"/>
        <v>17556.04</v>
      </c>
      <c r="AM8" s="27">
        <f t="shared" si="13"/>
        <v>26334.059999999998</v>
      </c>
      <c r="AN8" s="27">
        <f t="shared" si="14"/>
        <v>35112.080000000002</v>
      </c>
      <c r="AO8" s="22">
        <f t="shared" si="15"/>
        <v>24516.400000000001</v>
      </c>
      <c r="AP8" s="27">
        <f>AO8+AK8+AJ8+AI8+AH8+AF8</f>
        <v>1716786.9543519998</v>
      </c>
    </row>
    <row r="9" spans="1:42" x14ac:dyDescent="0.25">
      <c r="B9" s="1">
        <f t="shared" si="16"/>
        <v>0</v>
      </c>
      <c r="C9" s="1">
        <f t="shared" si="2"/>
        <v>0</v>
      </c>
      <c r="D9" s="1">
        <f t="shared" si="17"/>
        <v>0</v>
      </c>
      <c r="E9" s="1">
        <f t="shared" si="18"/>
        <v>0</v>
      </c>
      <c r="F9" s="1">
        <f t="shared" si="19"/>
        <v>0</v>
      </c>
      <c r="G9" s="1">
        <f t="shared" si="20"/>
        <v>0</v>
      </c>
      <c r="H9" s="1">
        <f t="shared" si="21"/>
        <v>0</v>
      </c>
      <c r="I9" s="1">
        <f t="shared" si="22"/>
        <v>0</v>
      </c>
      <c r="J9" s="14">
        <v>877802</v>
      </c>
      <c r="K9" s="8"/>
      <c r="L9" s="1"/>
      <c r="M9" s="9"/>
      <c r="N9" s="4"/>
      <c r="O9" s="7">
        <v>102854</v>
      </c>
      <c r="P9" s="1">
        <f t="shared" si="4"/>
        <v>0</v>
      </c>
      <c r="Q9" s="10">
        <f t="shared" ref="Q9:Q15" si="29">S9+T9</f>
        <v>0</v>
      </c>
      <c r="R9" s="1">
        <f t="shared" si="5"/>
        <v>0</v>
      </c>
      <c r="S9" s="10">
        <f t="shared" si="24"/>
        <v>0</v>
      </c>
      <c r="T9" s="10">
        <f t="shared" si="25"/>
        <v>0</v>
      </c>
      <c r="U9" s="10">
        <f t="shared" si="26"/>
        <v>0</v>
      </c>
      <c r="V9" s="1">
        <f t="shared" si="27"/>
        <v>0</v>
      </c>
      <c r="W9" s="19"/>
      <c r="X9" s="19"/>
      <c r="Y9" s="19"/>
      <c r="Z9" s="19"/>
      <c r="AA9" s="19"/>
      <c r="AB9" s="19"/>
      <c r="AC9" s="18"/>
      <c r="AD9" s="6">
        <f t="shared" si="6"/>
        <v>0</v>
      </c>
      <c r="AE9" s="6">
        <f t="shared" si="7"/>
        <v>0</v>
      </c>
      <c r="AF9" s="11">
        <f t="shared" ref="AF9:AF14" si="30">U9+AD9+AE9+AH9+AI9+AJ9+AK9+AO9+AN9+AM9+AL9</f>
        <v>0</v>
      </c>
      <c r="AG9" s="1"/>
      <c r="AH9" s="1">
        <f t="shared" si="9"/>
        <v>0</v>
      </c>
      <c r="AI9" s="1">
        <f t="shared" si="1"/>
        <v>0</v>
      </c>
      <c r="AJ9" s="1"/>
      <c r="AK9" s="1">
        <f t="shared" si="11"/>
        <v>0</v>
      </c>
    </row>
    <row r="10" spans="1:42" ht="15.75" customHeight="1" x14ac:dyDescent="0.25">
      <c r="B10" s="1">
        <f t="shared" si="16"/>
        <v>0</v>
      </c>
      <c r="C10" s="1">
        <f t="shared" si="2"/>
        <v>0</v>
      </c>
      <c r="D10" s="1">
        <f t="shared" si="17"/>
        <v>0</v>
      </c>
      <c r="E10" s="1">
        <f t="shared" si="18"/>
        <v>0</v>
      </c>
      <c r="F10" s="1">
        <f t="shared" si="19"/>
        <v>0</v>
      </c>
      <c r="G10" s="1">
        <f t="shared" si="20"/>
        <v>0</v>
      </c>
      <c r="H10" s="1">
        <f t="shared" si="21"/>
        <v>0</v>
      </c>
      <c r="I10" s="1">
        <f t="shared" si="22"/>
        <v>0</v>
      </c>
      <c r="J10" s="14">
        <v>877802</v>
      </c>
      <c r="K10" s="8"/>
      <c r="L10" s="1"/>
      <c r="M10" s="9"/>
      <c r="N10" s="4"/>
      <c r="O10" s="7">
        <v>102854</v>
      </c>
      <c r="P10" s="1">
        <f t="shared" si="4"/>
        <v>0</v>
      </c>
      <c r="Q10" s="10">
        <f t="shared" si="29"/>
        <v>0</v>
      </c>
      <c r="R10" s="1"/>
      <c r="S10" s="10">
        <f t="shared" si="24"/>
        <v>0</v>
      </c>
      <c r="T10" s="10"/>
      <c r="U10" s="10">
        <f t="shared" si="26"/>
        <v>0</v>
      </c>
      <c r="V10" s="1">
        <f t="shared" si="27"/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8">
        <v>0</v>
      </c>
      <c r="AD10" s="6">
        <f t="shared" si="6"/>
        <v>0</v>
      </c>
      <c r="AE10" s="6">
        <f t="shared" si="7"/>
        <v>0</v>
      </c>
      <c r="AF10" s="11">
        <f t="shared" si="30"/>
        <v>0</v>
      </c>
      <c r="AG10" s="1"/>
      <c r="AH10" s="1"/>
      <c r="AI10" s="1"/>
      <c r="AJ10" s="1"/>
      <c r="AK10" s="1"/>
    </row>
    <row r="11" spans="1:42" x14ac:dyDescent="0.25">
      <c r="B11" s="1">
        <f t="shared" si="16"/>
        <v>0</v>
      </c>
      <c r="C11" s="1">
        <f t="shared" si="2"/>
        <v>0</v>
      </c>
      <c r="D11" s="1">
        <f t="shared" si="17"/>
        <v>0</v>
      </c>
      <c r="E11" s="1">
        <f t="shared" si="18"/>
        <v>0</v>
      </c>
      <c r="F11" s="1">
        <f t="shared" si="19"/>
        <v>0</v>
      </c>
      <c r="G11" s="1">
        <f t="shared" si="20"/>
        <v>0</v>
      </c>
      <c r="H11" s="1">
        <f t="shared" si="21"/>
        <v>0</v>
      </c>
      <c r="I11" s="1">
        <f t="shared" si="22"/>
        <v>0</v>
      </c>
      <c r="J11" s="14">
        <v>877802</v>
      </c>
      <c r="K11" s="8"/>
      <c r="L11" s="1"/>
      <c r="M11" s="9"/>
      <c r="N11" s="4"/>
      <c r="O11" s="7">
        <v>102854</v>
      </c>
      <c r="P11" s="1">
        <f t="shared" si="4"/>
        <v>0</v>
      </c>
      <c r="Q11" s="10">
        <f t="shared" si="29"/>
        <v>0</v>
      </c>
      <c r="R11" s="1">
        <f t="shared" si="5"/>
        <v>0</v>
      </c>
      <c r="S11" s="10">
        <f t="shared" si="24"/>
        <v>0</v>
      </c>
      <c r="T11" s="10">
        <f t="shared" si="25"/>
        <v>0</v>
      </c>
      <c r="U11" s="10">
        <f t="shared" si="26"/>
        <v>0</v>
      </c>
      <c r="V11" s="1">
        <f t="shared" si="27"/>
        <v>0</v>
      </c>
      <c r="W11" s="19"/>
      <c r="X11" s="19"/>
      <c r="Y11" s="19"/>
      <c r="Z11" s="19"/>
      <c r="AA11" s="19"/>
      <c r="AB11" s="19"/>
      <c r="AC11" s="18"/>
      <c r="AD11" s="6">
        <f t="shared" si="6"/>
        <v>0</v>
      </c>
      <c r="AE11" s="6">
        <f t="shared" si="7"/>
        <v>0</v>
      </c>
      <c r="AF11" s="11">
        <f t="shared" si="30"/>
        <v>0</v>
      </c>
      <c r="AG11" s="1"/>
      <c r="AH11" s="1">
        <f t="shared" si="9"/>
        <v>0</v>
      </c>
      <c r="AI11" s="1">
        <f>(U11+T11)*8.33%</f>
        <v>0</v>
      </c>
      <c r="AJ11" s="1"/>
      <c r="AK11" s="1">
        <f t="shared" si="11"/>
        <v>0</v>
      </c>
    </row>
    <row r="12" spans="1:42" x14ac:dyDescent="0.25">
      <c r="B12" s="1">
        <f t="shared" si="16"/>
        <v>0</v>
      </c>
      <c r="C12" s="1">
        <f t="shared" si="2"/>
        <v>0</v>
      </c>
      <c r="D12" s="1">
        <f t="shared" si="17"/>
        <v>0</v>
      </c>
      <c r="E12" s="1">
        <f t="shared" si="18"/>
        <v>0</v>
      </c>
      <c r="F12" s="1">
        <f t="shared" si="19"/>
        <v>0</v>
      </c>
      <c r="G12" s="1">
        <f t="shared" si="20"/>
        <v>0</v>
      </c>
      <c r="H12" s="1">
        <f t="shared" si="21"/>
        <v>0</v>
      </c>
      <c r="I12" s="1">
        <f t="shared" si="22"/>
        <v>0</v>
      </c>
      <c r="J12" s="14">
        <v>877802</v>
      </c>
      <c r="K12" s="8"/>
      <c r="L12" s="1"/>
      <c r="M12" s="9"/>
      <c r="N12" s="4"/>
      <c r="O12" s="7">
        <v>102854</v>
      </c>
      <c r="P12" s="1">
        <f t="shared" si="4"/>
        <v>0</v>
      </c>
      <c r="Q12" s="10">
        <f t="shared" si="29"/>
        <v>0</v>
      </c>
      <c r="R12" s="1">
        <f t="shared" si="5"/>
        <v>0</v>
      </c>
      <c r="S12" s="10">
        <f t="shared" si="24"/>
        <v>0</v>
      </c>
      <c r="T12" s="10">
        <f t="shared" si="25"/>
        <v>0</v>
      </c>
      <c r="U12" s="10">
        <f t="shared" si="26"/>
        <v>0</v>
      </c>
      <c r="V12" s="1">
        <f t="shared" si="27"/>
        <v>0</v>
      </c>
      <c r="W12" s="19"/>
      <c r="X12" s="19"/>
      <c r="Y12" s="19"/>
      <c r="Z12" s="19"/>
      <c r="AA12" s="19"/>
      <c r="AB12" s="19"/>
      <c r="AC12" s="18"/>
      <c r="AD12" s="6">
        <f t="shared" si="6"/>
        <v>0</v>
      </c>
      <c r="AE12" s="6">
        <f t="shared" si="7"/>
        <v>0</v>
      </c>
      <c r="AF12" s="11">
        <f t="shared" si="30"/>
        <v>0</v>
      </c>
      <c r="AG12" s="1"/>
      <c r="AH12" s="1">
        <f t="shared" si="9"/>
        <v>0</v>
      </c>
      <c r="AI12" s="1">
        <f>(U12+T12)*8.33%</f>
        <v>0</v>
      </c>
      <c r="AJ12" s="1"/>
      <c r="AK12" s="1">
        <f t="shared" si="11"/>
        <v>0</v>
      </c>
    </row>
    <row r="13" spans="1:42" x14ac:dyDescent="0.25">
      <c r="B13" s="1">
        <f t="shared" si="16"/>
        <v>0</v>
      </c>
      <c r="C13" s="1">
        <f t="shared" si="2"/>
        <v>0</v>
      </c>
      <c r="D13" s="1">
        <f t="shared" si="17"/>
        <v>0</v>
      </c>
      <c r="E13" s="1">
        <f t="shared" si="18"/>
        <v>0</v>
      </c>
      <c r="F13" s="1">
        <f t="shared" si="19"/>
        <v>0</v>
      </c>
      <c r="G13" s="1">
        <f t="shared" si="20"/>
        <v>0</v>
      </c>
      <c r="H13" s="1">
        <f t="shared" si="21"/>
        <v>0</v>
      </c>
      <c r="I13" s="1">
        <f t="shared" si="22"/>
        <v>0</v>
      </c>
      <c r="J13" s="14">
        <v>877802</v>
      </c>
      <c r="K13" s="8"/>
      <c r="L13" s="1"/>
      <c r="M13" s="9"/>
      <c r="N13" s="4">
        <f>IF(K13&lt;(2*SMMLV),O15)</f>
        <v>0</v>
      </c>
      <c r="O13" s="7">
        <v>102854</v>
      </c>
      <c r="P13" s="1">
        <f t="shared" si="4"/>
        <v>0</v>
      </c>
      <c r="Q13" s="10">
        <f t="shared" si="29"/>
        <v>0</v>
      </c>
      <c r="R13" s="1">
        <f t="shared" si="5"/>
        <v>0</v>
      </c>
      <c r="S13" s="10">
        <f t="shared" si="24"/>
        <v>0</v>
      </c>
      <c r="T13" s="10">
        <f t="shared" si="25"/>
        <v>0</v>
      </c>
      <c r="U13" s="10">
        <f t="shared" si="26"/>
        <v>0</v>
      </c>
      <c r="V13" s="1">
        <f t="shared" si="27"/>
        <v>0</v>
      </c>
      <c r="W13" s="19"/>
      <c r="X13" s="19"/>
      <c r="Y13" s="19"/>
      <c r="Z13" s="19"/>
      <c r="AA13" s="19"/>
      <c r="AB13" s="19"/>
      <c r="AC13" s="18"/>
      <c r="AD13" s="6">
        <f t="shared" si="6"/>
        <v>0</v>
      </c>
      <c r="AE13" s="6">
        <f t="shared" si="7"/>
        <v>0</v>
      </c>
      <c r="AF13" s="11">
        <f t="shared" si="30"/>
        <v>0</v>
      </c>
      <c r="AG13" s="1"/>
      <c r="AH13" s="1">
        <f t="shared" si="9"/>
        <v>0</v>
      </c>
      <c r="AI13" s="1">
        <f>(U13+T13)*8.33%</f>
        <v>0</v>
      </c>
      <c r="AJ13" s="1"/>
      <c r="AK13" s="1">
        <f t="shared" si="11"/>
        <v>0</v>
      </c>
    </row>
    <row r="14" spans="1:42" x14ac:dyDescent="0.25">
      <c r="B14" s="1">
        <f t="shared" si="16"/>
        <v>0</v>
      </c>
      <c r="C14" s="1">
        <f t="shared" si="2"/>
        <v>0</v>
      </c>
      <c r="D14" s="1">
        <f t="shared" si="17"/>
        <v>0</v>
      </c>
      <c r="E14" s="1">
        <f t="shared" si="18"/>
        <v>0</v>
      </c>
      <c r="F14" s="1">
        <f t="shared" si="19"/>
        <v>0</v>
      </c>
      <c r="G14" s="1">
        <f t="shared" si="20"/>
        <v>0</v>
      </c>
      <c r="H14" s="1">
        <f t="shared" si="21"/>
        <v>0</v>
      </c>
      <c r="I14" s="1">
        <f t="shared" si="22"/>
        <v>0</v>
      </c>
      <c r="J14" s="14">
        <v>877802</v>
      </c>
      <c r="K14" s="8"/>
      <c r="L14" s="1"/>
      <c r="M14" s="9"/>
      <c r="N14" s="4">
        <f>IF(K14&lt;(2*SMMLV),O16)</f>
        <v>0</v>
      </c>
      <c r="O14" s="7">
        <v>102854</v>
      </c>
      <c r="P14" s="1">
        <f t="shared" si="4"/>
        <v>0</v>
      </c>
      <c r="Q14" s="10">
        <f t="shared" si="29"/>
        <v>0</v>
      </c>
      <c r="R14" s="1">
        <f t="shared" si="5"/>
        <v>0</v>
      </c>
      <c r="S14" s="10">
        <f t="shared" si="24"/>
        <v>0</v>
      </c>
      <c r="T14" s="10">
        <f t="shared" si="25"/>
        <v>0</v>
      </c>
      <c r="U14" s="10">
        <f t="shared" si="26"/>
        <v>0</v>
      </c>
      <c r="V14" s="1">
        <f t="shared" si="27"/>
        <v>0</v>
      </c>
      <c r="W14" s="19"/>
      <c r="X14" s="19"/>
      <c r="Y14" s="19"/>
      <c r="Z14" s="19"/>
      <c r="AA14" s="19"/>
      <c r="AB14" s="19"/>
      <c r="AC14" s="18"/>
      <c r="AD14" s="6">
        <f t="shared" si="6"/>
        <v>0</v>
      </c>
      <c r="AE14" s="6">
        <f t="shared" si="7"/>
        <v>0</v>
      </c>
      <c r="AF14" s="11">
        <f t="shared" si="30"/>
        <v>0</v>
      </c>
      <c r="AG14" s="1"/>
      <c r="AH14" s="1">
        <f t="shared" si="9"/>
        <v>0</v>
      </c>
      <c r="AI14" s="1">
        <f>(U14+T14)*8.33%</f>
        <v>0</v>
      </c>
      <c r="AJ14" s="1"/>
      <c r="AK14" s="1">
        <f t="shared" si="11"/>
        <v>0</v>
      </c>
    </row>
    <row r="15" spans="1:42" x14ac:dyDescent="0.25">
      <c r="B15" s="1">
        <f t="shared" si="16"/>
        <v>0</v>
      </c>
      <c r="C15" s="1">
        <f t="shared" si="2"/>
        <v>0</v>
      </c>
      <c r="D15" s="1">
        <f t="shared" si="17"/>
        <v>0</v>
      </c>
      <c r="E15" s="1">
        <f t="shared" si="18"/>
        <v>0</v>
      </c>
      <c r="F15" s="1">
        <f t="shared" si="19"/>
        <v>0</v>
      </c>
      <c r="G15" s="1">
        <f t="shared" si="20"/>
        <v>0</v>
      </c>
      <c r="H15" s="1">
        <f t="shared" si="21"/>
        <v>0</v>
      </c>
      <c r="I15" s="1">
        <f t="shared" si="22"/>
        <v>0</v>
      </c>
      <c r="J15" s="14"/>
      <c r="K15" s="8"/>
      <c r="L15" s="1"/>
      <c r="M15" s="9"/>
      <c r="N15" s="4"/>
      <c r="O15" s="7"/>
      <c r="P15" s="1"/>
      <c r="Q15" s="10">
        <f t="shared" si="29"/>
        <v>0</v>
      </c>
      <c r="R15" s="1">
        <f t="shared" si="5"/>
        <v>0</v>
      </c>
      <c r="S15" s="10">
        <f t="shared" si="24"/>
        <v>0</v>
      </c>
      <c r="T15" s="10">
        <f t="shared" si="25"/>
        <v>0</v>
      </c>
      <c r="U15" s="10">
        <f t="shared" si="26"/>
        <v>0</v>
      </c>
      <c r="V15" s="1">
        <f t="shared" si="27"/>
        <v>0</v>
      </c>
      <c r="W15" s="19"/>
      <c r="X15" s="19"/>
      <c r="Y15" s="19"/>
      <c r="Z15" s="19"/>
      <c r="AA15" s="19"/>
      <c r="AB15" s="19"/>
      <c r="AC15" s="18"/>
      <c r="AD15" s="6">
        <f t="shared" si="6"/>
        <v>0</v>
      </c>
      <c r="AE15" s="6">
        <f t="shared" si="7"/>
        <v>0</v>
      </c>
      <c r="AF15" s="6">
        <f t="shared" si="28"/>
        <v>0</v>
      </c>
      <c r="AG15" s="1"/>
      <c r="AH15" s="1">
        <f t="shared" si="9"/>
        <v>0</v>
      </c>
      <c r="AI15" s="1">
        <f>(U15+T15)*8.33%</f>
        <v>0</v>
      </c>
      <c r="AJ15" s="1"/>
      <c r="AK15" s="1">
        <f t="shared" si="11"/>
        <v>0</v>
      </c>
    </row>
    <row r="16" spans="1:42" x14ac:dyDescent="0.25">
      <c r="B16" s="1"/>
      <c r="C16" s="1"/>
      <c r="D16" s="1"/>
      <c r="E16" s="1"/>
      <c r="F16" s="1"/>
      <c r="G16" s="1"/>
      <c r="H16" s="1"/>
      <c r="I16" s="1"/>
      <c r="J16" s="15"/>
      <c r="K16" s="10"/>
      <c r="L16" s="1"/>
      <c r="M16" s="4"/>
      <c r="N16" s="4"/>
      <c r="O16" s="10"/>
      <c r="P16" s="1"/>
      <c r="Q16" s="1"/>
      <c r="R16" s="1"/>
      <c r="S16" s="1"/>
      <c r="T16" s="1"/>
      <c r="U16" s="1"/>
      <c r="V16" s="1"/>
      <c r="W16" s="13"/>
      <c r="X16" s="13"/>
      <c r="Y16" s="13"/>
      <c r="Z16" s="13"/>
      <c r="AA16" s="13"/>
      <c r="AB16" s="13"/>
      <c r="AC16" s="13"/>
      <c r="AD16" s="6"/>
      <c r="AE16" s="6"/>
      <c r="AF16" s="6"/>
    </row>
    <row r="17" spans="2:32" x14ac:dyDescent="0.25">
      <c r="B17" s="1"/>
      <c r="C17" s="1"/>
      <c r="D17" s="1"/>
      <c r="E17" s="1"/>
      <c r="F17" s="1"/>
      <c r="G17" s="1"/>
      <c r="H17" s="1"/>
      <c r="I17" s="1"/>
      <c r="J17" s="15"/>
      <c r="K17" s="10"/>
      <c r="L17" s="1"/>
      <c r="M17" s="1"/>
      <c r="N17" s="1"/>
      <c r="O17" s="10"/>
      <c r="P17" s="1"/>
      <c r="Q17" s="1"/>
      <c r="R17" s="1"/>
      <c r="S17" s="1"/>
      <c r="T17" s="1"/>
      <c r="U17" s="1"/>
      <c r="V17" s="1"/>
      <c r="W17" s="13"/>
      <c r="X17" s="13"/>
      <c r="Y17" s="13"/>
      <c r="Z17" s="13"/>
      <c r="AA17" s="13"/>
      <c r="AB17" s="13"/>
      <c r="AC17" s="13"/>
      <c r="AD17" s="6"/>
      <c r="AE17" s="6"/>
      <c r="AF17" s="6"/>
    </row>
    <row r="18" spans="2:32" x14ac:dyDescent="0.25">
      <c r="B18" s="1"/>
      <c r="C18" s="1"/>
      <c r="D18" s="1"/>
      <c r="E18" s="1"/>
      <c r="F18" s="1"/>
      <c r="G18" s="1"/>
      <c r="H18" s="1"/>
      <c r="I18" s="1"/>
      <c r="J18" s="15"/>
      <c r="K18" s="10"/>
      <c r="L18" s="1"/>
      <c r="M18" s="1"/>
      <c r="N18" s="1"/>
      <c r="O18" s="10"/>
      <c r="P18" s="1"/>
      <c r="Q18" s="1"/>
      <c r="R18" s="1"/>
      <c r="S18" s="1"/>
      <c r="T18" s="1"/>
      <c r="U18" s="1"/>
      <c r="V18" s="1"/>
      <c r="W18" s="13"/>
      <c r="X18" s="13"/>
      <c r="Y18" s="13"/>
      <c r="Z18" s="13"/>
      <c r="AA18" s="13"/>
      <c r="AB18" s="13"/>
      <c r="AC18" s="13"/>
      <c r="AD18" s="6"/>
      <c r="AE18" s="6"/>
      <c r="AF18" s="6"/>
    </row>
    <row r="19" spans="2:32" x14ac:dyDescent="0.25">
      <c r="B19" s="6"/>
      <c r="C19" s="6"/>
      <c r="D19" s="6"/>
      <c r="E19" s="6"/>
      <c r="F19" s="6"/>
      <c r="G19" s="6"/>
      <c r="H19" s="6"/>
      <c r="I19" s="6"/>
      <c r="J19" s="16"/>
      <c r="K19" s="11"/>
      <c r="L19" s="6"/>
      <c r="M19" s="6"/>
      <c r="N19" s="6"/>
      <c r="O19" s="11"/>
      <c r="P19" s="6"/>
      <c r="Q19" s="6"/>
      <c r="R19" s="6"/>
      <c r="S19" s="6"/>
      <c r="T19" s="6"/>
      <c r="U19" s="6"/>
      <c r="V19" s="6"/>
      <c r="W19" s="13"/>
      <c r="X19" s="13"/>
      <c r="Y19" s="13"/>
      <c r="Z19" s="13"/>
      <c r="AA19" s="13"/>
      <c r="AB19" s="13"/>
      <c r="AC19" s="13"/>
      <c r="AD19" s="6"/>
      <c r="AE19" s="6"/>
      <c r="AF19" s="6"/>
    </row>
    <row r="20" spans="2:32" x14ac:dyDescent="0.25">
      <c r="B20" s="6"/>
      <c r="C20" s="6"/>
      <c r="D20" s="6"/>
      <c r="E20" s="6"/>
      <c r="F20" s="6"/>
      <c r="G20" s="6"/>
      <c r="H20" s="6"/>
      <c r="I20" s="6"/>
      <c r="J20" s="16"/>
      <c r="K20" s="11"/>
      <c r="L20" s="6"/>
      <c r="M20" s="6"/>
      <c r="N20" s="6"/>
      <c r="O20" s="11"/>
      <c r="P20" s="6"/>
      <c r="Q20" s="6"/>
      <c r="R20" s="6"/>
      <c r="S20" s="6"/>
      <c r="T20" s="6"/>
      <c r="U20" s="6"/>
      <c r="V20" s="6"/>
      <c r="W20" s="13"/>
      <c r="X20" s="13"/>
      <c r="Y20" s="13"/>
      <c r="Z20" s="13"/>
      <c r="AA20" s="13"/>
      <c r="AB20" s="13"/>
      <c r="AC20" s="13"/>
      <c r="AD20" s="6"/>
      <c r="AE20" s="6"/>
      <c r="AF20" s="6"/>
    </row>
    <row r="21" spans="2:32" x14ac:dyDescent="0.25">
      <c r="B21" s="6"/>
      <c r="C21" s="6"/>
      <c r="D21" s="6"/>
      <c r="E21" s="6"/>
      <c r="F21" s="6"/>
      <c r="G21" s="6"/>
      <c r="H21" s="6"/>
      <c r="I21" s="6"/>
      <c r="J21" s="16"/>
      <c r="K21" s="11"/>
      <c r="L21" s="6"/>
      <c r="M21" s="6"/>
      <c r="N21" s="6"/>
      <c r="O21" s="11"/>
      <c r="P21" s="6"/>
      <c r="Q21" s="6"/>
      <c r="R21" s="6"/>
      <c r="S21" s="6"/>
      <c r="T21" s="6"/>
      <c r="U21" s="6"/>
      <c r="V21" s="6"/>
      <c r="W21" s="13"/>
      <c r="X21" s="13"/>
      <c r="Y21" s="13"/>
      <c r="Z21" s="13"/>
      <c r="AA21" s="13"/>
      <c r="AB21" s="13"/>
      <c r="AC21" s="13"/>
      <c r="AD21" s="6"/>
      <c r="AE21" s="6"/>
      <c r="AF21" s="6"/>
    </row>
    <row r="22" spans="2:32" x14ac:dyDescent="0.25">
      <c r="B22" s="6"/>
      <c r="C22" s="6"/>
      <c r="D22" s="6"/>
      <c r="E22" s="6"/>
      <c r="F22" s="6"/>
      <c r="G22" s="6"/>
      <c r="H22" s="6"/>
      <c r="I22" s="6"/>
      <c r="J22" s="16"/>
      <c r="K22" s="11"/>
      <c r="L22" s="6"/>
      <c r="M22" s="6"/>
      <c r="N22" s="6"/>
      <c r="O22" s="11"/>
      <c r="P22" s="6"/>
      <c r="Q22" s="6"/>
      <c r="R22" s="6"/>
      <c r="S22" s="6"/>
      <c r="T22" s="6"/>
      <c r="U22" s="6"/>
      <c r="V22" s="6"/>
      <c r="W22" s="13"/>
      <c r="X22" s="13"/>
      <c r="Y22" s="13"/>
      <c r="Z22" s="13"/>
      <c r="AA22" s="13"/>
      <c r="AB22" s="13"/>
      <c r="AC22" s="13"/>
      <c r="AD22" s="6"/>
      <c r="AE22" s="6"/>
      <c r="AF22" s="6"/>
    </row>
    <row r="23" spans="2:32" x14ac:dyDescent="0.25">
      <c r="W23" s="13"/>
      <c r="X23" s="13"/>
      <c r="Y23" s="13"/>
      <c r="Z23" s="13"/>
      <c r="AA23" s="13"/>
      <c r="AB23" s="13"/>
      <c r="AC23" s="13"/>
      <c r="AD23" s="6"/>
      <c r="AE23" s="6"/>
      <c r="AF23" s="6"/>
    </row>
    <row r="24" spans="2:32" x14ac:dyDescent="0.25">
      <c r="W24" s="13"/>
      <c r="X24" s="13"/>
      <c r="Y24" s="13"/>
      <c r="Z24" s="13"/>
      <c r="AA24" s="13"/>
      <c r="AB24" s="13"/>
      <c r="AC24" s="13"/>
      <c r="AD24" s="6"/>
      <c r="AE24" s="6"/>
      <c r="AF24" s="6"/>
    </row>
    <row r="25" spans="2:32" x14ac:dyDescent="0.25">
      <c r="W25" s="13"/>
      <c r="X25" s="13"/>
      <c r="Y25" s="13"/>
      <c r="Z25" s="13"/>
      <c r="AA25" s="13"/>
      <c r="AB25" s="13"/>
      <c r="AC25" s="13"/>
    </row>
    <row r="26" spans="2:32" x14ac:dyDescent="0.25">
      <c r="W26" s="13"/>
      <c r="X26" s="13"/>
      <c r="Y26" s="13"/>
      <c r="Z26" s="13"/>
      <c r="AA26" s="13"/>
      <c r="AB26" s="13"/>
      <c r="AC26" s="13"/>
    </row>
    <row r="27" spans="2:32" x14ac:dyDescent="0.25">
      <c r="W27" s="13"/>
      <c r="X27" s="13"/>
      <c r="Y27" s="13"/>
      <c r="Z27" s="13"/>
      <c r="AA27" s="13"/>
      <c r="AB27" s="13"/>
      <c r="AC27" s="13"/>
    </row>
    <row r="28" spans="2:32" x14ac:dyDescent="0.25">
      <c r="W28" s="13"/>
      <c r="X28" s="13"/>
      <c r="Y28" s="13"/>
      <c r="Z28" s="13"/>
      <c r="AA28" s="13"/>
      <c r="AB28" s="13"/>
      <c r="AC28" s="13"/>
    </row>
  </sheetData>
  <mergeCells count="25">
    <mergeCell ref="AC1:AC2"/>
    <mergeCell ref="AD1:AD2"/>
    <mergeCell ref="AE1:AE2"/>
    <mergeCell ref="AJ1:AJ2"/>
    <mergeCell ref="W1:W2"/>
    <mergeCell ref="X1:X2"/>
    <mergeCell ref="Y1:Y2"/>
    <mergeCell ref="AA1:AA2"/>
    <mergeCell ref="AB1:AB2"/>
    <mergeCell ref="AI1:AI2"/>
    <mergeCell ref="AK1:AK2"/>
    <mergeCell ref="AL1:AN1"/>
    <mergeCell ref="AO1:AO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Z1:Z2"/>
    <mergeCell ref="O1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42</vt:i4>
      </vt:variant>
    </vt:vector>
  </HeadingPairs>
  <TitlesOfParts>
    <vt:vector size="45" baseType="lpstr">
      <vt:lpstr>nomina</vt:lpstr>
      <vt:lpstr>TRABAJADOR</vt:lpstr>
      <vt:lpstr>EMPLEADOR</vt:lpstr>
      <vt:lpstr>EMPLEADOR!DT</vt:lpstr>
      <vt:lpstr>DT</vt:lpstr>
      <vt:lpstr>EMPLEADOR!EPS</vt:lpstr>
      <vt:lpstr>EPS</vt:lpstr>
      <vt:lpstr>EMPLEADOR!N_HED</vt:lpstr>
      <vt:lpstr>N_HED</vt:lpstr>
      <vt:lpstr>EMPLEADOR!N_HEFD</vt:lpstr>
      <vt:lpstr>N_HEFD</vt:lpstr>
      <vt:lpstr>EMPLEADOR!Pe</vt:lpstr>
      <vt:lpstr>Pe</vt:lpstr>
      <vt:lpstr>EMPLEADOR!S</vt:lpstr>
      <vt:lpstr>S</vt:lpstr>
      <vt:lpstr>EMPLEADOR!SBA</vt:lpstr>
      <vt:lpstr>SBA</vt:lpstr>
      <vt:lpstr>EMPLEADOR!SD</vt:lpstr>
      <vt:lpstr>SD</vt:lpstr>
      <vt:lpstr>EMPLEADOR!Sde</vt:lpstr>
      <vt:lpstr>Sde</vt:lpstr>
      <vt:lpstr>EMPLEADOR!SMMLV</vt:lpstr>
      <vt:lpstr>SMMLV</vt:lpstr>
      <vt:lpstr>EMPLEADOR!SMMLVD</vt:lpstr>
      <vt:lpstr>SMMLVD</vt:lpstr>
      <vt:lpstr>EMPLEADOR!SuT</vt:lpstr>
      <vt:lpstr>SuT</vt:lpstr>
      <vt:lpstr>EMPLEADOR!SuTD</vt:lpstr>
      <vt:lpstr>SuTD</vt:lpstr>
      <vt:lpstr>EMPLEADOR!VHED</vt:lpstr>
      <vt:lpstr>VHED</vt:lpstr>
      <vt:lpstr>EMPLEADOR!VHEFD</vt:lpstr>
      <vt:lpstr>VHEFD</vt:lpstr>
      <vt:lpstr>EMPLEADOR!VHEFN</vt:lpstr>
      <vt:lpstr>VHEFN</vt:lpstr>
      <vt:lpstr>EMPLEADOR!VHEN</vt:lpstr>
      <vt:lpstr>VHEN</vt:lpstr>
      <vt:lpstr>EMPLEADOR!VHN</vt:lpstr>
      <vt:lpstr>VHN</vt:lpstr>
      <vt:lpstr>EMPLEADOR!VHRFD</vt:lpstr>
      <vt:lpstr>VHRFD</vt:lpstr>
      <vt:lpstr>EMPLEADOR!VHRFN</vt:lpstr>
      <vt:lpstr>VHRFN</vt:lpstr>
      <vt:lpstr>EMPLEADOR!VHRN</vt:lpstr>
      <vt:lpstr>VHRN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</dc:creator>
  <cp:lastModifiedBy>CATALINA</cp:lastModifiedBy>
  <dcterms:created xsi:type="dcterms:W3CDTF">2020-06-18T17:20:38Z</dcterms:created>
  <dcterms:modified xsi:type="dcterms:W3CDTF">2020-06-29T22:55:09Z</dcterms:modified>
</cp:coreProperties>
</file>