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rian\Desktop\principal\Nay\IC-2025\Gestión Bioeconomica de sistemas\"/>
    </mc:Choice>
  </mc:AlternateContent>
  <xr:revisionPtr revIDLastSave="0" documentId="8_{1B49ED2D-ED61-4294-8CFD-BCFB19DC233D}" xr6:coauthVersionLast="47" xr6:coauthVersionMax="47" xr10:uidLastSave="{00000000-0000-0000-0000-000000000000}"/>
  <bookViews>
    <workbookView xWindow="-120" yWindow="-120" windowWidth="19800" windowHeight="11760" tabRatio="709" firstSheet="6" activeTab="10" xr2:uid="{00000000-000D-0000-FFFF-FFFF00000000}"/>
  </bookViews>
  <sheets>
    <sheet name="Estado de Resultados" sheetId="1" r:id="rId1"/>
    <sheet name="Alimentación " sheetId="5" r:id="rId2"/>
    <sheet name="Mano de OBra" sheetId="7" r:id="rId3"/>
    <sheet name="Transporte" sheetId="8" r:id="rId4"/>
    <sheet name="Flujograma" sheetId="2" r:id="rId5"/>
    <sheet name="Punto de equilibrio" sheetId="4" r:id="rId6"/>
    <sheet name="Flujo de efectivo ACTUAL" sheetId="14" r:id="rId7"/>
    <sheet name="Inversion" sheetId="12" r:id="rId8"/>
    <sheet name="Flujo de Inversion simple" sheetId="13" r:id="rId9"/>
    <sheet name="Flujo Marginal" sheetId="17" r:id="rId10"/>
    <sheet name="Escenarios" sheetId="11" r:id="rId11"/>
  </sheets>
  <definedNames>
    <definedName name="_xlnm._FilterDatabase" localSheetId="0" hidden="1">'Estado de Resultados'!$I$2:$N$5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1" l="1"/>
  <c r="C3" i="12"/>
  <c r="C4" i="12"/>
  <c r="H40" i="17"/>
  <c r="I40" i="17"/>
  <c r="J40" i="17"/>
  <c r="K40" i="17"/>
  <c r="L40" i="17"/>
  <c r="M40" i="17"/>
  <c r="N40" i="17"/>
  <c r="O40" i="17"/>
  <c r="P40" i="17"/>
  <c r="I48" i="17"/>
  <c r="J48" i="17"/>
  <c r="K48" i="17"/>
  <c r="L48" i="17"/>
  <c r="M48" i="17"/>
  <c r="N48" i="17"/>
  <c r="O48" i="17"/>
  <c r="P48" i="17"/>
  <c r="H48" i="17"/>
  <c r="H41" i="17"/>
  <c r="I41" i="17"/>
  <c r="J41" i="17"/>
  <c r="K41" i="17"/>
  <c r="L41" i="17"/>
  <c r="M41" i="17"/>
  <c r="N41" i="17"/>
  <c r="O41" i="17"/>
  <c r="P41" i="17"/>
  <c r="J78" i="11"/>
  <c r="J73" i="11"/>
  <c r="J71" i="11"/>
  <c r="J68" i="11"/>
  <c r="J63" i="11"/>
  <c r="J61" i="11"/>
  <c r="J58" i="11"/>
  <c r="J53" i="11"/>
  <c r="J51" i="11"/>
  <c r="H75" i="11"/>
  <c r="H65" i="11"/>
  <c r="H55" i="11"/>
  <c r="J48" i="11"/>
  <c r="J44" i="11"/>
  <c r="J42" i="11"/>
  <c r="H45" i="11"/>
  <c r="J38" i="11"/>
  <c r="J33" i="11"/>
  <c r="J31" i="11"/>
  <c r="H35" i="11"/>
  <c r="J28" i="11"/>
  <c r="J23" i="11"/>
  <c r="J21" i="11"/>
  <c r="H25" i="11"/>
  <c r="K14" i="11"/>
  <c r="D14" i="11"/>
  <c r="B19" i="1"/>
  <c r="G11" i="14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E24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E39" i="2"/>
  <c r="E49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E8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E37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E22" i="2"/>
  <c r="E23" i="2"/>
  <c r="E5" i="2"/>
  <c r="E19" i="2"/>
  <c r="E46" i="2"/>
  <c r="E34" i="2"/>
  <c r="G12" i="14"/>
  <c r="C9" i="2"/>
  <c r="B4" i="12"/>
  <c r="B4" i="13"/>
  <c r="B28" i="17"/>
  <c r="A28" i="17"/>
  <c r="A4" i="13"/>
  <c r="C5" i="12"/>
  <c r="E40" i="17"/>
  <c r="E5" i="17"/>
  <c r="E4" i="17"/>
  <c r="E9" i="17"/>
  <c r="E10" i="17"/>
  <c r="E11" i="17"/>
  <c r="G88" i="17"/>
  <c r="E50" i="2"/>
  <c r="G21" i="17"/>
  <c r="F21" i="17"/>
  <c r="F23" i="17"/>
  <c r="G5" i="17"/>
  <c r="B3" i="17"/>
  <c r="B5" i="17"/>
  <c r="B8" i="17"/>
  <c r="O15" i="7"/>
  <c r="P15" i="7"/>
  <c r="O16" i="7"/>
  <c r="P16" i="7"/>
  <c r="O17" i="7"/>
  <c r="O18" i="7"/>
  <c r="P17" i="7"/>
  <c r="P18" i="7"/>
  <c r="G5" i="14"/>
  <c r="B5" i="13"/>
  <c r="B29" i="17"/>
  <c r="O14" i="7"/>
  <c r="P14" i="7"/>
  <c r="K14" i="7"/>
  <c r="E33" i="13"/>
  <c r="B2" i="1"/>
  <c r="G2" i="1"/>
  <c r="F5" i="4"/>
  <c r="O5" i="7"/>
  <c r="O6" i="7"/>
  <c r="O7" i="7"/>
  <c r="O8" i="7"/>
  <c r="O9" i="7"/>
  <c r="O10" i="7"/>
  <c r="O11" i="7"/>
  <c r="O12" i="7"/>
  <c r="O13" i="7"/>
  <c r="O4" i="7"/>
  <c r="B3" i="14"/>
  <c r="B5" i="14"/>
  <c r="F14" i="7"/>
  <c r="F15" i="7"/>
  <c r="F16" i="7"/>
  <c r="G5" i="13"/>
  <c r="G41" i="17"/>
  <c r="E4" i="2"/>
  <c r="D15" i="8"/>
  <c r="D16" i="8"/>
  <c r="H5" i="14"/>
  <c r="E9" i="2"/>
  <c r="C3" i="2"/>
  <c r="E18" i="2"/>
  <c r="C17" i="2"/>
  <c r="E20" i="2"/>
  <c r="F18" i="2"/>
  <c r="F19" i="2"/>
  <c r="F23" i="2"/>
  <c r="F20" i="2"/>
  <c r="C7" i="5"/>
  <c r="G18" i="2"/>
  <c r="G19" i="2"/>
  <c r="G23" i="2"/>
  <c r="G20" i="2"/>
  <c r="D7" i="5"/>
  <c r="H18" i="2"/>
  <c r="H19" i="2"/>
  <c r="H23" i="2"/>
  <c r="H20" i="2"/>
  <c r="E7" i="5"/>
  <c r="I18" i="2"/>
  <c r="I19" i="2"/>
  <c r="I23" i="2"/>
  <c r="I20" i="2"/>
  <c r="F7" i="5"/>
  <c r="J18" i="2"/>
  <c r="J19" i="2"/>
  <c r="J23" i="2"/>
  <c r="J20" i="2"/>
  <c r="G7" i="5"/>
  <c r="K18" i="2"/>
  <c r="K19" i="2"/>
  <c r="K23" i="2"/>
  <c r="K20" i="2"/>
  <c r="H7" i="5"/>
  <c r="L18" i="2"/>
  <c r="L19" i="2"/>
  <c r="L23" i="2"/>
  <c r="L20" i="2"/>
  <c r="I7" i="5"/>
  <c r="M18" i="2"/>
  <c r="M19" i="2"/>
  <c r="M23" i="2"/>
  <c r="M20" i="2"/>
  <c r="J7" i="5"/>
  <c r="N18" i="2"/>
  <c r="N19" i="2"/>
  <c r="N23" i="2"/>
  <c r="N20" i="2"/>
  <c r="K7" i="5"/>
  <c r="O18" i="2"/>
  <c r="O19" i="2"/>
  <c r="O23" i="2"/>
  <c r="O20" i="2"/>
  <c r="L7" i="5"/>
  <c r="P18" i="2"/>
  <c r="P19" i="2"/>
  <c r="P23" i="2"/>
  <c r="P20" i="2"/>
  <c r="M7" i="5"/>
  <c r="Q18" i="2"/>
  <c r="Q19" i="2"/>
  <c r="Q23" i="2"/>
  <c r="Q20" i="2"/>
  <c r="N7" i="5"/>
  <c r="R18" i="2"/>
  <c r="R19" i="2"/>
  <c r="R23" i="2"/>
  <c r="R20" i="2"/>
  <c r="O7" i="5"/>
  <c r="S18" i="2"/>
  <c r="S19" i="2"/>
  <c r="S23" i="2"/>
  <c r="S20" i="2"/>
  <c r="P7" i="5"/>
  <c r="T18" i="2"/>
  <c r="T19" i="2"/>
  <c r="T23" i="2"/>
  <c r="T20" i="2"/>
  <c r="Q7" i="5"/>
  <c r="U18" i="2"/>
  <c r="U19" i="2"/>
  <c r="U23" i="2"/>
  <c r="U20" i="2"/>
  <c r="R7" i="5"/>
  <c r="V18" i="2"/>
  <c r="V19" i="2"/>
  <c r="V23" i="2"/>
  <c r="V20" i="2"/>
  <c r="S7" i="5"/>
  <c r="W18" i="2"/>
  <c r="W19" i="2"/>
  <c r="W23" i="2"/>
  <c r="W20" i="2"/>
  <c r="T7" i="5"/>
  <c r="X18" i="2"/>
  <c r="X19" i="2"/>
  <c r="X23" i="2"/>
  <c r="X20" i="2"/>
  <c r="U7" i="5"/>
  <c r="Y18" i="2"/>
  <c r="Y19" i="2"/>
  <c r="Y23" i="2"/>
  <c r="Y20" i="2"/>
  <c r="V7" i="5"/>
  <c r="Z18" i="2"/>
  <c r="Z19" i="2"/>
  <c r="Z23" i="2"/>
  <c r="Z20" i="2"/>
  <c r="W7" i="5"/>
  <c r="AA18" i="2"/>
  <c r="AA19" i="2"/>
  <c r="AA23" i="2"/>
  <c r="AA20" i="2"/>
  <c r="X7" i="5"/>
  <c r="AB18" i="2"/>
  <c r="AB19" i="2"/>
  <c r="AB23" i="2"/>
  <c r="AB20" i="2"/>
  <c r="Y7" i="5"/>
  <c r="AC18" i="2"/>
  <c r="AC19" i="2"/>
  <c r="AC23" i="2"/>
  <c r="AC20" i="2"/>
  <c r="Z7" i="5"/>
  <c r="AD18" i="2"/>
  <c r="AD19" i="2"/>
  <c r="AD23" i="2"/>
  <c r="AD20" i="2"/>
  <c r="AA7" i="5"/>
  <c r="AE18" i="2"/>
  <c r="AE19" i="2"/>
  <c r="AE23" i="2"/>
  <c r="AE20" i="2"/>
  <c r="AB7" i="5"/>
  <c r="AF18" i="2"/>
  <c r="AF19" i="2"/>
  <c r="AF23" i="2"/>
  <c r="AF20" i="2"/>
  <c r="AC7" i="5"/>
  <c r="AG18" i="2"/>
  <c r="AG19" i="2"/>
  <c r="AG23" i="2"/>
  <c r="AG20" i="2"/>
  <c r="AD7" i="5"/>
  <c r="AH18" i="2"/>
  <c r="AH19" i="2"/>
  <c r="AH23" i="2"/>
  <c r="AH20" i="2"/>
  <c r="AE7" i="5"/>
  <c r="AI18" i="2"/>
  <c r="AI19" i="2"/>
  <c r="AI23" i="2"/>
  <c r="AI20" i="2"/>
  <c r="AF7" i="5"/>
  <c r="AJ18" i="2"/>
  <c r="AJ19" i="2"/>
  <c r="AJ23" i="2"/>
  <c r="AJ20" i="2"/>
  <c r="AG7" i="5"/>
  <c r="AK18" i="2"/>
  <c r="AK19" i="2"/>
  <c r="AK23" i="2"/>
  <c r="AK20" i="2"/>
  <c r="AH7" i="5"/>
  <c r="AL18" i="2"/>
  <c r="AL19" i="2"/>
  <c r="AL23" i="2"/>
  <c r="AL20" i="2"/>
  <c r="AI7" i="5"/>
  <c r="AM18" i="2"/>
  <c r="AM19" i="2"/>
  <c r="AM23" i="2"/>
  <c r="AM20" i="2"/>
  <c r="AJ7" i="5"/>
  <c r="AN18" i="2"/>
  <c r="AN19" i="2"/>
  <c r="AN23" i="2"/>
  <c r="AN20" i="2"/>
  <c r="AK7" i="5"/>
  <c r="AO18" i="2"/>
  <c r="AO19" i="2"/>
  <c r="AO23" i="2"/>
  <c r="AO20" i="2"/>
  <c r="AL7" i="5"/>
  <c r="AP18" i="2"/>
  <c r="AP19" i="2"/>
  <c r="AP23" i="2"/>
  <c r="AP20" i="2"/>
  <c r="AM7" i="5"/>
  <c r="AQ18" i="2"/>
  <c r="AQ19" i="2"/>
  <c r="AQ23" i="2"/>
  <c r="AQ20" i="2"/>
  <c r="AN7" i="5"/>
  <c r="AR18" i="2"/>
  <c r="AR19" i="2"/>
  <c r="AR23" i="2"/>
  <c r="AR20" i="2"/>
  <c r="AO7" i="5"/>
  <c r="AS18" i="2"/>
  <c r="AS19" i="2"/>
  <c r="AS23" i="2"/>
  <c r="AS20" i="2"/>
  <c r="AP7" i="5"/>
  <c r="AT18" i="2"/>
  <c r="AT19" i="2"/>
  <c r="AT23" i="2"/>
  <c r="AT20" i="2"/>
  <c r="AQ7" i="5"/>
  <c r="AU18" i="2"/>
  <c r="AU19" i="2"/>
  <c r="AU23" i="2"/>
  <c r="AU20" i="2"/>
  <c r="AR7" i="5"/>
  <c r="AV18" i="2"/>
  <c r="AV19" i="2"/>
  <c r="AV23" i="2"/>
  <c r="AV20" i="2"/>
  <c r="AS7" i="5"/>
  <c r="AW18" i="2"/>
  <c r="AW19" i="2"/>
  <c r="AW23" i="2"/>
  <c r="AW20" i="2"/>
  <c r="AT7" i="5"/>
  <c r="AX18" i="2"/>
  <c r="AX19" i="2"/>
  <c r="AX23" i="2"/>
  <c r="AX20" i="2"/>
  <c r="AU7" i="5"/>
  <c r="AY18" i="2"/>
  <c r="AY19" i="2"/>
  <c r="AY23" i="2"/>
  <c r="AY20" i="2"/>
  <c r="AV7" i="5"/>
  <c r="AZ18" i="2"/>
  <c r="AZ19" i="2"/>
  <c r="AZ23" i="2"/>
  <c r="B5" i="4"/>
  <c r="E45" i="2"/>
  <c r="C44" i="2"/>
  <c r="E33" i="2"/>
  <c r="E38" i="2"/>
  <c r="C32" i="2"/>
  <c r="E21" i="2"/>
  <c r="F21" i="2"/>
  <c r="C8" i="5"/>
  <c r="C9" i="5"/>
  <c r="G21" i="2"/>
  <c r="D8" i="5"/>
  <c r="D9" i="5"/>
  <c r="H21" i="2"/>
  <c r="E8" i="5"/>
  <c r="E9" i="5"/>
  <c r="I21" i="2"/>
  <c r="F8" i="5"/>
  <c r="F9" i="5"/>
  <c r="J21" i="2"/>
  <c r="G8" i="5"/>
  <c r="G9" i="5"/>
  <c r="K21" i="2"/>
  <c r="H8" i="5"/>
  <c r="H9" i="5"/>
  <c r="L21" i="2"/>
  <c r="I8" i="5"/>
  <c r="I9" i="5"/>
  <c r="L26" i="2"/>
  <c r="M21" i="2"/>
  <c r="J8" i="5"/>
  <c r="J9" i="5"/>
  <c r="N21" i="2"/>
  <c r="K8" i="5"/>
  <c r="K9" i="5"/>
  <c r="O21" i="2"/>
  <c r="L8" i="5"/>
  <c r="L9" i="5"/>
  <c r="P21" i="2"/>
  <c r="M8" i="5"/>
  <c r="M9" i="5"/>
  <c r="P26" i="2"/>
  <c r="Q21" i="2"/>
  <c r="N8" i="5"/>
  <c r="N9" i="5"/>
  <c r="R21" i="2"/>
  <c r="O8" i="5"/>
  <c r="O9" i="5"/>
  <c r="S21" i="2"/>
  <c r="P8" i="5"/>
  <c r="P9" i="5"/>
  <c r="T21" i="2"/>
  <c r="Q8" i="5"/>
  <c r="Q9" i="5"/>
  <c r="T26" i="2"/>
  <c r="U21" i="2"/>
  <c r="R8" i="5"/>
  <c r="R9" i="5"/>
  <c r="V21" i="2"/>
  <c r="S8" i="5"/>
  <c r="S9" i="5"/>
  <c r="W21" i="2"/>
  <c r="T8" i="5"/>
  <c r="T9" i="5"/>
  <c r="X21" i="2"/>
  <c r="U8" i="5"/>
  <c r="U9" i="5"/>
  <c r="X26" i="2"/>
  <c r="Y21" i="2"/>
  <c r="V8" i="5"/>
  <c r="V9" i="5"/>
  <c r="Z21" i="2"/>
  <c r="W8" i="5"/>
  <c r="W9" i="5"/>
  <c r="AA21" i="2"/>
  <c r="X8" i="5"/>
  <c r="X9" i="5"/>
  <c r="AB21" i="2"/>
  <c r="Y8" i="5"/>
  <c r="Y9" i="5"/>
  <c r="AB26" i="2"/>
  <c r="AC21" i="2"/>
  <c r="Z8" i="5"/>
  <c r="Z9" i="5"/>
  <c r="AD21" i="2"/>
  <c r="AA8" i="5"/>
  <c r="AA9" i="5"/>
  <c r="AE21" i="2"/>
  <c r="AB8" i="5"/>
  <c r="AB9" i="5"/>
  <c r="AF21" i="2"/>
  <c r="AC8" i="5"/>
  <c r="AC9" i="5"/>
  <c r="AF26" i="2"/>
  <c r="AG21" i="2"/>
  <c r="AD8" i="5"/>
  <c r="AD9" i="5"/>
  <c r="AH21" i="2"/>
  <c r="AE8" i="5"/>
  <c r="AE9" i="5"/>
  <c r="AI21" i="2"/>
  <c r="AF8" i="5"/>
  <c r="AF9" i="5"/>
  <c r="AJ21" i="2"/>
  <c r="AG8" i="5"/>
  <c r="AG9" i="5"/>
  <c r="AJ26" i="2"/>
  <c r="AK21" i="2"/>
  <c r="AH8" i="5"/>
  <c r="AH9" i="5"/>
  <c r="AL21" i="2"/>
  <c r="AI8" i="5"/>
  <c r="AI9" i="5"/>
  <c r="AM21" i="2"/>
  <c r="AJ8" i="5"/>
  <c r="AJ9" i="5"/>
  <c r="AN21" i="2"/>
  <c r="AK8" i="5"/>
  <c r="AK9" i="5"/>
  <c r="AN26" i="2"/>
  <c r="AO21" i="2"/>
  <c r="AL8" i="5"/>
  <c r="AL9" i="5"/>
  <c r="AP21" i="2"/>
  <c r="AM8" i="5"/>
  <c r="AM9" i="5"/>
  <c r="AQ21" i="2"/>
  <c r="AN8" i="5"/>
  <c r="AN9" i="5"/>
  <c r="AR21" i="2"/>
  <c r="AO8" i="5"/>
  <c r="AO9" i="5"/>
  <c r="AR26" i="2"/>
  <c r="AS21" i="2"/>
  <c r="AP8" i="5"/>
  <c r="AP9" i="5"/>
  <c r="AT21" i="2"/>
  <c r="AQ8" i="5"/>
  <c r="AQ9" i="5"/>
  <c r="AU21" i="2"/>
  <c r="AR8" i="5"/>
  <c r="AR9" i="5"/>
  <c r="AV21" i="2"/>
  <c r="AS8" i="5"/>
  <c r="AS9" i="5"/>
  <c r="AV26" i="2"/>
  <c r="AW21" i="2"/>
  <c r="AT8" i="5"/>
  <c r="AT9" i="5"/>
  <c r="AX21" i="2"/>
  <c r="AU8" i="5"/>
  <c r="AU9" i="5"/>
  <c r="AY21" i="2"/>
  <c r="AV8" i="5"/>
  <c r="AV9" i="5"/>
  <c r="AZ20" i="2"/>
  <c r="AW7" i="5"/>
  <c r="AZ21" i="2"/>
  <c r="AW8" i="5"/>
  <c r="AW9" i="5"/>
  <c r="AZ26" i="2"/>
  <c r="BU10" i="2"/>
  <c r="BV10" i="2"/>
  <c r="D5" i="8"/>
  <c r="F5" i="7"/>
  <c r="G5" i="7"/>
  <c r="F6" i="7"/>
  <c r="F7" i="7"/>
  <c r="F8" i="7"/>
  <c r="F9" i="7"/>
  <c r="F10" i="7"/>
  <c r="F11" i="7"/>
  <c r="F12" i="7"/>
  <c r="F13" i="7"/>
  <c r="F4" i="7"/>
  <c r="B8" i="5"/>
  <c r="B9" i="5"/>
  <c r="B7" i="5"/>
  <c r="A5" i="5"/>
  <c r="D4" i="8"/>
  <c r="BA18" i="2"/>
  <c r="BA19" i="2"/>
  <c r="BA20" i="2"/>
  <c r="AX7" i="5"/>
  <c r="BA21" i="2"/>
  <c r="AX8" i="5"/>
  <c r="AX9" i="5"/>
  <c r="BB18" i="2"/>
  <c r="BB19" i="2"/>
  <c r="BB20" i="2"/>
  <c r="AY7" i="5"/>
  <c r="BB21" i="2"/>
  <c r="AY8" i="5"/>
  <c r="AY9" i="5"/>
  <c r="BC18" i="2"/>
  <c r="BC19" i="2"/>
  <c r="BC20" i="2"/>
  <c r="AZ7" i="5"/>
  <c r="BC21" i="2"/>
  <c r="AZ8" i="5"/>
  <c r="AZ9" i="5"/>
  <c r="BD18" i="2"/>
  <c r="BD19" i="2"/>
  <c r="BD20" i="2"/>
  <c r="BA7" i="5"/>
  <c r="BD21" i="2"/>
  <c r="BA8" i="5"/>
  <c r="BA9" i="5"/>
  <c r="BE18" i="2"/>
  <c r="BE19" i="2"/>
  <c r="BE20" i="2"/>
  <c r="BB7" i="5"/>
  <c r="BE21" i="2"/>
  <c r="BB8" i="5"/>
  <c r="BB9" i="5"/>
  <c r="BF18" i="2"/>
  <c r="BF19" i="2"/>
  <c r="BF20" i="2"/>
  <c r="BC7" i="5"/>
  <c r="BF21" i="2"/>
  <c r="BC8" i="5"/>
  <c r="BC9" i="5"/>
  <c r="BG18" i="2"/>
  <c r="BG19" i="2"/>
  <c r="BG20" i="2"/>
  <c r="BD7" i="5"/>
  <c r="BG21" i="2"/>
  <c r="BD8" i="5"/>
  <c r="BD9" i="5"/>
  <c r="BH18" i="2"/>
  <c r="BH19" i="2"/>
  <c r="BH20" i="2"/>
  <c r="BE7" i="5"/>
  <c r="BH21" i="2"/>
  <c r="BE8" i="5"/>
  <c r="BE9" i="5"/>
  <c r="BI18" i="2"/>
  <c r="BI19" i="2"/>
  <c r="BI20" i="2"/>
  <c r="BF7" i="5"/>
  <c r="BI21" i="2"/>
  <c r="BF8" i="5"/>
  <c r="BF9" i="5"/>
  <c r="BJ18" i="2"/>
  <c r="BJ19" i="2"/>
  <c r="BJ20" i="2"/>
  <c r="BG7" i="5"/>
  <c r="BJ21" i="2"/>
  <c r="BG8" i="5"/>
  <c r="BG9" i="5"/>
  <c r="BK18" i="2"/>
  <c r="BK19" i="2"/>
  <c r="BK20" i="2"/>
  <c r="BH7" i="5"/>
  <c r="BK21" i="2"/>
  <c r="BH8" i="5"/>
  <c r="BH9" i="5"/>
  <c r="BL18" i="2"/>
  <c r="BL19" i="2"/>
  <c r="BL20" i="2"/>
  <c r="BI7" i="5"/>
  <c r="BL21" i="2"/>
  <c r="BI8" i="5"/>
  <c r="BI9" i="5"/>
  <c r="BM18" i="2"/>
  <c r="BM19" i="2"/>
  <c r="BM20" i="2"/>
  <c r="BJ7" i="5"/>
  <c r="BM21" i="2"/>
  <c r="BJ8" i="5"/>
  <c r="BJ9" i="5"/>
  <c r="BN18" i="2"/>
  <c r="BN19" i="2"/>
  <c r="BN20" i="2"/>
  <c r="BK7" i="5"/>
  <c r="BN21" i="2"/>
  <c r="BK8" i="5"/>
  <c r="BK9" i="5"/>
  <c r="BO18" i="2"/>
  <c r="BO19" i="2"/>
  <c r="BO20" i="2"/>
  <c r="BO21" i="2"/>
  <c r="BL8" i="5"/>
  <c r="BL9" i="5"/>
  <c r="BP24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P21" i="2"/>
  <c r="BP19" i="2"/>
  <c r="BP22" i="2"/>
  <c r="BP18" i="2"/>
  <c r="B13" i="1"/>
  <c r="G10" i="14"/>
  <c r="J76" i="11"/>
  <c r="H76" i="11"/>
  <c r="J66" i="11"/>
  <c r="H66" i="11"/>
  <c r="J56" i="11"/>
  <c r="H56" i="11"/>
  <c r="E67" i="11"/>
  <c r="J26" i="11"/>
  <c r="J46" i="11"/>
  <c r="J36" i="11"/>
  <c r="BL7" i="5"/>
  <c r="G14" i="2"/>
  <c r="B9" i="14"/>
  <c r="G13" i="14"/>
  <c r="F22" i="14"/>
  <c r="E35" i="2"/>
  <c r="H5" i="17"/>
  <c r="I5" i="17"/>
  <c r="J5" i="17"/>
  <c r="K5" i="17"/>
  <c r="L5" i="17"/>
  <c r="M5" i="17"/>
  <c r="N5" i="17"/>
  <c r="O5" i="17"/>
  <c r="P5" i="17"/>
  <c r="B3" i="13"/>
  <c r="K17" i="7"/>
  <c r="K16" i="7"/>
  <c r="K15" i="7"/>
  <c r="G4" i="7"/>
  <c r="B4" i="7"/>
  <c r="F17" i="7"/>
  <c r="G3" i="1"/>
  <c r="P4" i="7"/>
  <c r="P13" i="7"/>
  <c r="K13" i="7"/>
  <c r="P12" i="7"/>
  <c r="K12" i="7"/>
  <c r="P11" i="7"/>
  <c r="K11" i="7"/>
  <c r="P10" i="7"/>
  <c r="K10" i="7"/>
  <c r="P9" i="7"/>
  <c r="K9" i="7"/>
  <c r="P8" i="7"/>
  <c r="K8" i="7"/>
  <c r="P7" i="7"/>
  <c r="K7" i="7"/>
  <c r="P6" i="7"/>
  <c r="K6" i="7"/>
  <c r="P5" i="7"/>
  <c r="K5" i="7"/>
  <c r="G16" i="7"/>
  <c r="B16" i="7"/>
  <c r="G15" i="7"/>
  <c r="B15" i="7"/>
  <c r="G14" i="7"/>
  <c r="B14" i="7"/>
  <c r="H26" i="2"/>
  <c r="E27" i="2"/>
  <c r="H5" i="13"/>
  <c r="I5" i="13"/>
  <c r="J5" i="13"/>
  <c r="K5" i="13"/>
  <c r="L5" i="13"/>
  <c r="M5" i="13"/>
  <c r="N5" i="13"/>
  <c r="O5" i="13"/>
  <c r="P5" i="13"/>
  <c r="G13" i="7"/>
  <c r="G12" i="7"/>
  <c r="B12" i="7"/>
  <c r="G11" i="7"/>
  <c r="B11" i="7"/>
  <c r="G10" i="7"/>
  <c r="B10" i="7"/>
  <c r="G9" i="7"/>
  <c r="B9" i="7"/>
  <c r="G8" i="7"/>
  <c r="B8" i="7"/>
  <c r="G7" i="7"/>
  <c r="B7" i="7"/>
  <c r="G6" i="7"/>
  <c r="B6" i="7"/>
  <c r="B5" i="7"/>
  <c r="E47" i="2"/>
  <c r="I5" i="14"/>
  <c r="B27" i="1"/>
  <c r="B19" i="5"/>
  <c r="F33" i="2"/>
  <c r="F34" i="2"/>
  <c r="E36" i="2"/>
  <c r="B6" i="13"/>
  <c r="B9" i="13"/>
  <c r="B27" i="17"/>
  <c r="P19" i="7"/>
  <c r="K4" i="7"/>
  <c r="B13" i="7"/>
  <c r="G17" i="7"/>
  <c r="E6" i="2"/>
  <c r="G18" i="7"/>
  <c r="B3" i="1"/>
  <c r="F18" i="7"/>
  <c r="B22" i="5"/>
  <c r="J5" i="14"/>
  <c r="D27" i="1"/>
  <c r="G13" i="13"/>
  <c r="G20" i="13"/>
  <c r="G63" i="13"/>
  <c r="F24" i="14"/>
  <c r="G12" i="17"/>
  <c r="G19" i="17"/>
  <c r="B30" i="17"/>
  <c r="F58" i="17"/>
  <c r="F60" i="17"/>
  <c r="B34" i="17"/>
  <c r="B20" i="5"/>
  <c r="B21" i="5"/>
  <c r="F31" i="13"/>
  <c r="F32" i="13"/>
  <c r="F66" i="13"/>
  <c r="B10" i="13"/>
  <c r="F22" i="13"/>
  <c r="F4" i="2"/>
  <c r="F5" i="2"/>
  <c r="E7" i="2"/>
  <c r="B4" i="5"/>
  <c r="B8" i="1"/>
  <c r="B11" i="1"/>
  <c r="G8" i="1"/>
  <c r="G11" i="1"/>
  <c r="F45" i="2"/>
  <c r="F46" i="2"/>
  <c r="E48" i="2"/>
  <c r="E51" i="2"/>
  <c r="K5" i="14"/>
  <c r="B33" i="17"/>
  <c r="G49" i="17"/>
  <c r="G69" i="17"/>
  <c r="G111" i="17"/>
  <c r="F75" i="17"/>
  <c r="H88" i="17"/>
  <c r="H86" i="17"/>
  <c r="F119" i="17"/>
  <c r="F26" i="14"/>
  <c r="G11" i="17"/>
  <c r="G56" i="17"/>
  <c r="F35" i="2"/>
  <c r="F38" i="2"/>
  <c r="F24" i="13"/>
  <c r="F26" i="13"/>
  <c r="H87" i="17"/>
  <c r="F68" i="13"/>
  <c r="G12" i="13"/>
  <c r="G42" i="13"/>
  <c r="G44" i="13"/>
  <c r="G55" i="13"/>
  <c r="E36" i="13"/>
  <c r="E39" i="13"/>
  <c r="F33" i="13"/>
  <c r="E36" i="11"/>
  <c r="J13" i="13"/>
  <c r="H13" i="13"/>
  <c r="I13" i="13"/>
  <c r="L20" i="13"/>
  <c r="L63" i="13"/>
  <c r="M20" i="13"/>
  <c r="M63" i="13"/>
  <c r="N20" i="13"/>
  <c r="N63" i="13"/>
  <c r="O20" i="13"/>
  <c r="O63" i="13"/>
  <c r="P20" i="13"/>
  <c r="P63" i="13"/>
  <c r="H20" i="13"/>
  <c r="H63" i="13"/>
  <c r="I20" i="13"/>
  <c r="I63" i="13"/>
  <c r="J20" i="13"/>
  <c r="J63" i="13"/>
  <c r="K20" i="13"/>
  <c r="K63" i="13"/>
  <c r="L13" i="13"/>
  <c r="M13" i="13"/>
  <c r="N13" i="13"/>
  <c r="O13" i="13"/>
  <c r="P13" i="13"/>
  <c r="K13" i="13"/>
  <c r="B23" i="5"/>
  <c r="B24" i="5"/>
  <c r="B25" i="5"/>
  <c r="B5" i="5"/>
  <c r="B6" i="5"/>
  <c r="B10" i="5"/>
  <c r="F6" i="2"/>
  <c r="G52" i="13"/>
  <c r="F9" i="4"/>
  <c r="B9" i="4"/>
  <c r="F49" i="2"/>
  <c r="F50" i="2"/>
  <c r="F47" i="2"/>
  <c r="C22" i="5"/>
  <c r="L5" i="14"/>
  <c r="H36" i="11"/>
  <c r="H46" i="11"/>
  <c r="H26" i="11"/>
  <c r="F91" i="17"/>
  <c r="F94" i="17"/>
  <c r="F123" i="17"/>
  <c r="I56" i="17"/>
  <c r="J56" i="17"/>
  <c r="K56" i="17"/>
  <c r="L56" i="17"/>
  <c r="M56" i="17"/>
  <c r="N56" i="17"/>
  <c r="O56" i="17"/>
  <c r="P56" i="17"/>
  <c r="H56" i="17"/>
  <c r="I49" i="17"/>
  <c r="J49" i="17"/>
  <c r="K49" i="17"/>
  <c r="L49" i="17"/>
  <c r="M49" i="17"/>
  <c r="N49" i="17"/>
  <c r="O49" i="17"/>
  <c r="P49" i="17"/>
  <c r="H49" i="17"/>
  <c r="C19" i="5"/>
  <c r="G33" i="2"/>
  <c r="G34" i="2"/>
  <c r="F36" i="2"/>
  <c r="H12" i="13"/>
  <c r="G48" i="17"/>
  <c r="G68" i="17"/>
  <c r="G110" i="17"/>
  <c r="G53" i="13"/>
  <c r="K53" i="13"/>
  <c r="P53" i="13"/>
  <c r="O53" i="13"/>
  <c r="N53" i="13"/>
  <c r="M53" i="13"/>
  <c r="L53" i="13"/>
  <c r="I53" i="13"/>
  <c r="H53" i="13"/>
  <c r="J53" i="13"/>
  <c r="F79" i="17"/>
  <c r="G73" i="17"/>
  <c r="G116" i="17"/>
  <c r="H43" i="13"/>
  <c r="I43" i="13"/>
  <c r="J43" i="13"/>
  <c r="K43" i="13"/>
  <c r="L43" i="13"/>
  <c r="M43" i="13"/>
  <c r="N43" i="13"/>
  <c r="O43" i="13"/>
  <c r="P43" i="13"/>
  <c r="G43" i="13"/>
  <c r="G45" i="13"/>
  <c r="G4" i="2"/>
  <c r="G5" i="2"/>
  <c r="F7" i="2"/>
  <c r="C4" i="5"/>
  <c r="F9" i="2"/>
  <c r="I12" i="13"/>
  <c r="H12" i="14"/>
  <c r="H11" i="17"/>
  <c r="G45" i="2"/>
  <c r="G46" i="2"/>
  <c r="F48" i="2"/>
  <c r="F51" i="2"/>
  <c r="M5" i="14"/>
  <c r="E38" i="11"/>
  <c r="F98" i="17"/>
  <c r="F100" i="17"/>
  <c r="G112" i="17"/>
  <c r="G99" i="17"/>
  <c r="H99" i="17"/>
  <c r="I99" i="17"/>
  <c r="J99" i="17"/>
  <c r="K99" i="17"/>
  <c r="L99" i="17"/>
  <c r="M99" i="17"/>
  <c r="N99" i="17"/>
  <c r="O99" i="17"/>
  <c r="F99" i="17"/>
  <c r="C20" i="5"/>
  <c r="C21" i="5"/>
  <c r="G35" i="2"/>
  <c r="H68" i="17"/>
  <c r="H110" i="17"/>
  <c r="H52" i="13"/>
  <c r="I52" i="13"/>
  <c r="G64" i="13"/>
  <c r="G46" i="13"/>
  <c r="H42" i="13"/>
  <c r="H44" i="13"/>
  <c r="C23" i="5"/>
  <c r="C24" i="5"/>
  <c r="C25" i="5"/>
  <c r="C5" i="5"/>
  <c r="C6" i="5"/>
  <c r="C10" i="5"/>
  <c r="G6" i="2"/>
  <c r="H45" i="13"/>
  <c r="H55" i="13"/>
  <c r="J12" i="13"/>
  <c r="I12" i="14"/>
  <c r="I11" i="17"/>
  <c r="I68" i="17"/>
  <c r="I110" i="17"/>
  <c r="G49" i="2"/>
  <c r="G50" i="2"/>
  <c r="G47" i="2"/>
  <c r="D22" i="5"/>
  <c r="N5" i="14"/>
  <c r="F101" i="17"/>
  <c r="G117" i="17"/>
  <c r="D19" i="5"/>
  <c r="H33" i="2"/>
  <c r="H34" i="2"/>
  <c r="G36" i="2"/>
  <c r="G38" i="2"/>
  <c r="J52" i="13"/>
  <c r="H4" i="2"/>
  <c r="H5" i="2"/>
  <c r="G7" i="2"/>
  <c r="D4" i="5"/>
  <c r="G9" i="2"/>
  <c r="H64" i="13"/>
  <c r="H46" i="13"/>
  <c r="I42" i="13"/>
  <c r="K12" i="13"/>
  <c r="J12" i="14"/>
  <c r="J11" i="17"/>
  <c r="J68" i="17"/>
  <c r="J110" i="17"/>
  <c r="H45" i="2"/>
  <c r="H46" i="2"/>
  <c r="G48" i="2"/>
  <c r="G51" i="2"/>
  <c r="O5" i="14"/>
  <c r="F102" i="17"/>
  <c r="G98" i="17"/>
  <c r="G100" i="17"/>
  <c r="D20" i="5"/>
  <c r="D21" i="5"/>
  <c r="H35" i="2"/>
  <c r="K52" i="13"/>
  <c r="D23" i="5"/>
  <c r="D24" i="5"/>
  <c r="D25" i="5"/>
  <c r="D5" i="5"/>
  <c r="D6" i="5"/>
  <c r="D10" i="5"/>
  <c r="H6" i="2"/>
  <c r="I44" i="13"/>
  <c r="L12" i="13"/>
  <c r="K12" i="14"/>
  <c r="K11" i="17"/>
  <c r="K68" i="17"/>
  <c r="K110" i="17"/>
  <c r="H49" i="2"/>
  <c r="H50" i="2"/>
  <c r="H47" i="2"/>
  <c r="E22" i="5"/>
  <c r="P5" i="14"/>
  <c r="G101" i="17"/>
  <c r="H112" i="17"/>
  <c r="E19" i="5"/>
  <c r="I33" i="2"/>
  <c r="I34" i="2"/>
  <c r="H36" i="2"/>
  <c r="H38" i="2"/>
  <c r="L52" i="13"/>
  <c r="I4" i="2"/>
  <c r="I5" i="2"/>
  <c r="H7" i="2"/>
  <c r="E4" i="5"/>
  <c r="H9" i="2"/>
  <c r="I55" i="13"/>
  <c r="I45" i="13"/>
  <c r="M12" i="13"/>
  <c r="L12" i="14"/>
  <c r="L11" i="17"/>
  <c r="L68" i="17"/>
  <c r="L110" i="17"/>
  <c r="I45" i="2"/>
  <c r="I46" i="2"/>
  <c r="H48" i="2"/>
  <c r="H51" i="2"/>
  <c r="G102" i="17"/>
  <c r="H98" i="17"/>
  <c r="H100" i="17"/>
  <c r="H117" i="17"/>
  <c r="E20" i="5"/>
  <c r="E21" i="5"/>
  <c r="I35" i="2"/>
  <c r="M52" i="13"/>
  <c r="E23" i="5"/>
  <c r="E24" i="5"/>
  <c r="E25" i="5"/>
  <c r="E26" i="5"/>
  <c r="E5" i="5"/>
  <c r="E6" i="5"/>
  <c r="E10" i="5"/>
  <c r="E11" i="5"/>
  <c r="I6" i="2"/>
  <c r="I64" i="13"/>
  <c r="I46" i="13"/>
  <c r="J42" i="13"/>
  <c r="N12" i="13"/>
  <c r="M12" i="14"/>
  <c r="M11" i="17"/>
  <c r="M68" i="17"/>
  <c r="M110" i="17"/>
  <c r="I49" i="2"/>
  <c r="I50" i="2"/>
  <c r="I47" i="2"/>
  <c r="F22" i="5"/>
  <c r="H101" i="17"/>
  <c r="I112" i="17"/>
  <c r="F19" i="5"/>
  <c r="J33" i="2"/>
  <c r="J34" i="2"/>
  <c r="I36" i="2"/>
  <c r="I38" i="2"/>
  <c r="N52" i="13"/>
  <c r="J4" i="2"/>
  <c r="J5" i="2"/>
  <c r="I7" i="2"/>
  <c r="F4" i="5"/>
  <c r="I9" i="2"/>
  <c r="E12" i="2"/>
  <c r="J44" i="13"/>
  <c r="O12" i="13"/>
  <c r="N12" i="14"/>
  <c r="N11" i="17"/>
  <c r="N68" i="17"/>
  <c r="N110" i="17"/>
  <c r="J45" i="2"/>
  <c r="J46" i="2"/>
  <c r="I48" i="2"/>
  <c r="I51" i="2"/>
  <c r="H102" i="17"/>
  <c r="I98" i="17"/>
  <c r="I117" i="17"/>
  <c r="F20" i="5"/>
  <c r="F21" i="5"/>
  <c r="J35" i="2"/>
  <c r="O52" i="13"/>
  <c r="F23" i="5"/>
  <c r="F24" i="5"/>
  <c r="F25" i="5"/>
  <c r="F5" i="5"/>
  <c r="F6" i="5"/>
  <c r="F10" i="5"/>
  <c r="J6" i="2"/>
  <c r="J45" i="13"/>
  <c r="J55" i="13"/>
  <c r="P12" i="13"/>
  <c r="O12" i="14"/>
  <c r="O11" i="17"/>
  <c r="O68" i="17"/>
  <c r="O110" i="17"/>
  <c r="J49" i="2"/>
  <c r="J50" i="2"/>
  <c r="J47" i="2"/>
  <c r="G22" i="5"/>
  <c r="I100" i="17"/>
  <c r="G19" i="5"/>
  <c r="K33" i="2"/>
  <c r="K34" i="2"/>
  <c r="J36" i="2"/>
  <c r="J38" i="2"/>
  <c r="K4" i="2"/>
  <c r="K5" i="2"/>
  <c r="J7" i="2"/>
  <c r="G4" i="5"/>
  <c r="J9" i="2"/>
  <c r="P52" i="13"/>
  <c r="J64" i="13"/>
  <c r="J46" i="13"/>
  <c r="K42" i="13"/>
  <c r="P12" i="14"/>
  <c r="P11" i="17"/>
  <c r="P68" i="17"/>
  <c r="P110" i="17"/>
  <c r="K45" i="2"/>
  <c r="K46" i="2"/>
  <c r="J48" i="2"/>
  <c r="J51" i="2"/>
  <c r="I101" i="17"/>
  <c r="J112" i="17"/>
  <c r="G20" i="5"/>
  <c r="G21" i="5"/>
  <c r="K35" i="2"/>
  <c r="G23" i="5"/>
  <c r="G24" i="5"/>
  <c r="G25" i="5"/>
  <c r="G5" i="5"/>
  <c r="G6" i="5"/>
  <c r="G10" i="5"/>
  <c r="K6" i="2"/>
  <c r="K44" i="13"/>
  <c r="K49" i="2"/>
  <c r="K50" i="2"/>
  <c r="K47" i="2"/>
  <c r="H22" i="5"/>
  <c r="J117" i="17"/>
  <c r="I102" i="17"/>
  <c r="J98" i="17"/>
  <c r="J100" i="17"/>
  <c r="H19" i="5"/>
  <c r="L33" i="2"/>
  <c r="L34" i="2"/>
  <c r="K36" i="2"/>
  <c r="K38" i="2"/>
  <c r="L4" i="2"/>
  <c r="L5" i="2"/>
  <c r="K7" i="2"/>
  <c r="H4" i="5"/>
  <c r="K9" i="2"/>
  <c r="K45" i="13"/>
  <c r="K55" i="13"/>
  <c r="L45" i="2"/>
  <c r="L46" i="2"/>
  <c r="K48" i="2"/>
  <c r="K51" i="2"/>
  <c r="J101" i="17"/>
  <c r="K112" i="17"/>
  <c r="H20" i="5"/>
  <c r="H21" i="5"/>
  <c r="L35" i="2"/>
  <c r="H23" i="5"/>
  <c r="H24" i="5"/>
  <c r="H25" i="5"/>
  <c r="H5" i="5"/>
  <c r="H6" i="5"/>
  <c r="H10" i="5"/>
  <c r="L6" i="2"/>
  <c r="K64" i="13"/>
  <c r="K46" i="13"/>
  <c r="L42" i="13"/>
  <c r="L49" i="2"/>
  <c r="L50" i="2"/>
  <c r="L47" i="2"/>
  <c r="I22" i="5"/>
  <c r="J102" i="17"/>
  <c r="K98" i="17"/>
  <c r="K100" i="17"/>
  <c r="K117" i="17"/>
  <c r="I19" i="5"/>
  <c r="M33" i="2"/>
  <c r="M34" i="2"/>
  <c r="L36" i="2"/>
  <c r="L38" i="2"/>
  <c r="M4" i="2"/>
  <c r="M5" i="2"/>
  <c r="L7" i="2"/>
  <c r="I4" i="5"/>
  <c r="L9" i="2"/>
  <c r="L44" i="13"/>
  <c r="M45" i="2"/>
  <c r="M46" i="2"/>
  <c r="L48" i="2"/>
  <c r="L51" i="2"/>
  <c r="K101" i="17"/>
  <c r="L112" i="17"/>
  <c r="I20" i="5"/>
  <c r="I21" i="5"/>
  <c r="M35" i="2"/>
  <c r="I23" i="5"/>
  <c r="I24" i="5"/>
  <c r="I25" i="5"/>
  <c r="I26" i="5"/>
  <c r="I5" i="5"/>
  <c r="I6" i="5"/>
  <c r="I10" i="5"/>
  <c r="I11" i="5"/>
  <c r="M6" i="2"/>
  <c r="L45" i="13"/>
  <c r="L55" i="13"/>
  <c r="M49" i="2"/>
  <c r="M50" i="2"/>
  <c r="M47" i="2"/>
  <c r="J22" i="5"/>
  <c r="K102" i="17"/>
  <c r="L98" i="17"/>
  <c r="L100" i="17"/>
  <c r="L117" i="17"/>
  <c r="J19" i="5"/>
  <c r="N33" i="2"/>
  <c r="N34" i="2"/>
  <c r="M36" i="2"/>
  <c r="M38" i="2"/>
  <c r="N4" i="2"/>
  <c r="N5" i="2"/>
  <c r="M7" i="2"/>
  <c r="J4" i="5"/>
  <c r="M9" i="2"/>
  <c r="J12" i="2"/>
  <c r="L64" i="13"/>
  <c r="L46" i="13"/>
  <c r="M42" i="13"/>
  <c r="N45" i="2"/>
  <c r="N46" i="2"/>
  <c r="M48" i="2"/>
  <c r="M51" i="2"/>
  <c r="L101" i="17"/>
  <c r="M112" i="17"/>
  <c r="J20" i="5"/>
  <c r="J21" i="5"/>
  <c r="N35" i="2"/>
  <c r="J23" i="5"/>
  <c r="J24" i="5"/>
  <c r="J25" i="5"/>
  <c r="J5" i="5"/>
  <c r="J6" i="5"/>
  <c r="J10" i="5"/>
  <c r="N6" i="2"/>
  <c r="M44" i="13"/>
  <c r="N49" i="2"/>
  <c r="N50" i="2"/>
  <c r="N47" i="2"/>
  <c r="K22" i="5"/>
  <c r="L102" i="17"/>
  <c r="M98" i="17"/>
  <c r="M100" i="17"/>
  <c r="M117" i="17"/>
  <c r="K19" i="5"/>
  <c r="O33" i="2"/>
  <c r="O34" i="2"/>
  <c r="N36" i="2"/>
  <c r="N38" i="2"/>
  <c r="O4" i="2"/>
  <c r="O5" i="2"/>
  <c r="N7" i="2"/>
  <c r="K4" i="5"/>
  <c r="N9" i="2"/>
  <c r="M45" i="13"/>
  <c r="M55" i="13"/>
  <c r="O45" i="2"/>
  <c r="O46" i="2"/>
  <c r="N48" i="2"/>
  <c r="N51" i="2"/>
  <c r="M101" i="17"/>
  <c r="N112" i="17"/>
  <c r="K20" i="5"/>
  <c r="K21" i="5"/>
  <c r="O35" i="2"/>
  <c r="K23" i="5"/>
  <c r="K24" i="5"/>
  <c r="K25" i="5"/>
  <c r="K5" i="5"/>
  <c r="K6" i="5"/>
  <c r="K10" i="5"/>
  <c r="O6" i="2"/>
  <c r="M64" i="13"/>
  <c r="M46" i="13"/>
  <c r="N42" i="13"/>
  <c r="O49" i="2"/>
  <c r="O50" i="2"/>
  <c r="O47" i="2"/>
  <c r="L22" i="5"/>
  <c r="M102" i="17"/>
  <c r="N98" i="17"/>
  <c r="N100" i="17"/>
  <c r="N117" i="17"/>
  <c r="L19" i="5"/>
  <c r="P33" i="2"/>
  <c r="P34" i="2"/>
  <c r="O36" i="2"/>
  <c r="O38" i="2"/>
  <c r="P4" i="2"/>
  <c r="P5" i="2"/>
  <c r="O7" i="2"/>
  <c r="L4" i="5"/>
  <c r="O9" i="2"/>
  <c r="N44" i="13"/>
  <c r="P45" i="2"/>
  <c r="P46" i="2"/>
  <c r="O48" i="2"/>
  <c r="O51" i="2"/>
  <c r="N101" i="17"/>
  <c r="O112" i="17"/>
  <c r="L20" i="5"/>
  <c r="L21" i="5"/>
  <c r="P35" i="2"/>
  <c r="L23" i="5"/>
  <c r="L24" i="5"/>
  <c r="L25" i="5"/>
  <c r="L5" i="5"/>
  <c r="L6" i="5"/>
  <c r="L10" i="5"/>
  <c r="P6" i="2"/>
  <c r="N45" i="13"/>
  <c r="N55" i="13"/>
  <c r="P49" i="2"/>
  <c r="P50" i="2"/>
  <c r="P47" i="2"/>
  <c r="M22" i="5"/>
  <c r="N102" i="17"/>
  <c r="O98" i="17"/>
  <c r="O100" i="17"/>
  <c r="O117" i="17"/>
  <c r="M19" i="5"/>
  <c r="Q33" i="2"/>
  <c r="Q34" i="2"/>
  <c r="P36" i="2"/>
  <c r="P38" i="2"/>
  <c r="Q4" i="2"/>
  <c r="Q5" i="2"/>
  <c r="P7" i="2"/>
  <c r="M4" i="5"/>
  <c r="P9" i="2"/>
  <c r="N64" i="13"/>
  <c r="N46" i="13"/>
  <c r="O42" i="13"/>
  <c r="Q45" i="2"/>
  <c r="Q46" i="2"/>
  <c r="P48" i="2"/>
  <c r="P51" i="2"/>
  <c r="O101" i="17"/>
  <c r="P112" i="17"/>
  <c r="M20" i="5"/>
  <c r="M21" i="5"/>
  <c r="Q35" i="2"/>
  <c r="M23" i="5"/>
  <c r="M24" i="5"/>
  <c r="M25" i="5"/>
  <c r="M26" i="5"/>
  <c r="M5" i="5"/>
  <c r="M6" i="5"/>
  <c r="M10" i="5"/>
  <c r="M11" i="5"/>
  <c r="Q6" i="2"/>
  <c r="O44" i="13"/>
  <c r="Q49" i="2"/>
  <c r="Q50" i="2"/>
  <c r="Q47" i="2"/>
  <c r="N22" i="5"/>
  <c r="O102" i="17"/>
  <c r="P117" i="17"/>
  <c r="N19" i="5"/>
  <c r="R33" i="2"/>
  <c r="R34" i="2"/>
  <c r="Q36" i="2"/>
  <c r="Q38" i="2"/>
  <c r="R4" i="2"/>
  <c r="R5" i="2"/>
  <c r="Q7" i="2"/>
  <c r="N4" i="5"/>
  <c r="Q9" i="2"/>
  <c r="P12" i="2"/>
  <c r="O45" i="13"/>
  <c r="O55" i="13"/>
  <c r="R45" i="2"/>
  <c r="R46" i="2"/>
  <c r="Q48" i="2"/>
  <c r="Q51" i="2"/>
  <c r="N20" i="5"/>
  <c r="N21" i="5"/>
  <c r="R35" i="2"/>
  <c r="N23" i="5"/>
  <c r="N24" i="5"/>
  <c r="N25" i="5"/>
  <c r="N5" i="5"/>
  <c r="N6" i="5"/>
  <c r="N10" i="5"/>
  <c r="R6" i="2"/>
  <c r="O64" i="13"/>
  <c r="O46" i="13"/>
  <c r="P42" i="13"/>
  <c r="R49" i="2"/>
  <c r="R50" i="2"/>
  <c r="R47" i="2"/>
  <c r="O22" i="5"/>
  <c r="O19" i="5"/>
  <c r="S33" i="2"/>
  <c r="S34" i="2"/>
  <c r="R36" i="2"/>
  <c r="R38" i="2"/>
  <c r="S4" i="2"/>
  <c r="S5" i="2"/>
  <c r="R7" i="2"/>
  <c r="O4" i="5"/>
  <c r="R9" i="2"/>
  <c r="P44" i="13"/>
  <c r="S45" i="2"/>
  <c r="S46" i="2"/>
  <c r="R48" i="2"/>
  <c r="R51" i="2"/>
  <c r="O20" i="5"/>
  <c r="O21" i="5"/>
  <c r="S35" i="2"/>
  <c r="O23" i="5"/>
  <c r="O24" i="5"/>
  <c r="O25" i="5"/>
  <c r="O5" i="5"/>
  <c r="O6" i="5"/>
  <c r="O10" i="5"/>
  <c r="S6" i="2"/>
  <c r="P45" i="13"/>
  <c r="P55" i="13"/>
  <c r="S49" i="2"/>
  <c r="S50" i="2"/>
  <c r="S47" i="2"/>
  <c r="P22" i="5"/>
  <c r="P19" i="5"/>
  <c r="T33" i="2"/>
  <c r="T34" i="2"/>
  <c r="S36" i="2"/>
  <c r="S38" i="2"/>
  <c r="T4" i="2"/>
  <c r="T5" i="2"/>
  <c r="S7" i="2"/>
  <c r="P4" i="5"/>
  <c r="S9" i="2"/>
  <c r="P64" i="13"/>
  <c r="P46" i="13"/>
  <c r="T45" i="2"/>
  <c r="T46" i="2"/>
  <c r="S48" i="2"/>
  <c r="S51" i="2"/>
  <c r="P20" i="5"/>
  <c r="P21" i="5"/>
  <c r="T35" i="2"/>
  <c r="P23" i="5"/>
  <c r="P24" i="5"/>
  <c r="P25" i="5"/>
  <c r="P5" i="5"/>
  <c r="P6" i="5"/>
  <c r="P10" i="5"/>
  <c r="T6" i="2"/>
  <c r="T49" i="2"/>
  <c r="T50" i="2"/>
  <c r="T47" i="2"/>
  <c r="Q22" i="5"/>
  <c r="Q19" i="5"/>
  <c r="U33" i="2"/>
  <c r="U34" i="2"/>
  <c r="T36" i="2"/>
  <c r="T38" i="2"/>
  <c r="U4" i="2"/>
  <c r="U5" i="2"/>
  <c r="T7" i="2"/>
  <c r="Q4" i="5"/>
  <c r="T9" i="2"/>
  <c r="U45" i="2"/>
  <c r="U46" i="2"/>
  <c r="T48" i="2"/>
  <c r="T51" i="2"/>
  <c r="Q20" i="5"/>
  <c r="Q21" i="5"/>
  <c r="U35" i="2"/>
  <c r="Q23" i="5"/>
  <c r="Q24" i="5"/>
  <c r="Q25" i="5"/>
  <c r="Q26" i="5"/>
  <c r="Q5" i="5"/>
  <c r="Q6" i="5"/>
  <c r="Q10" i="5"/>
  <c r="Q11" i="5"/>
  <c r="U6" i="2"/>
  <c r="U49" i="2"/>
  <c r="U50" i="2"/>
  <c r="U47" i="2"/>
  <c r="R22" i="5"/>
  <c r="R19" i="5"/>
  <c r="V33" i="2"/>
  <c r="V34" i="2"/>
  <c r="U36" i="2"/>
  <c r="U38" i="2"/>
  <c r="V4" i="2"/>
  <c r="V5" i="2"/>
  <c r="U7" i="2"/>
  <c r="R4" i="5"/>
  <c r="U9" i="2"/>
  <c r="T12" i="2"/>
  <c r="V45" i="2"/>
  <c r="V46" i="2"/>
  <c r="U48" i="2"/>
  <c r="U51" i="2"/>
  <c r="R20" i="5"/>
  <c r="R21" i="5"/>
  <c r="V35" i="2"/>
  <c r="R23" i="5"/>
  <c r="R24" i="5"/>
  <c r="R25" i="5"/>
  <c r="R5" i="5"/>
  <c r="R6" i="5"/>
  <c r="R10" i="5"/>
  <c r="V6" i="2"/>
  <c r="V49" i="2"/>
  <c r="V50" i="2"/>
  <c r="V47" i="2"/>
  <c r="S22" i="5"/>
  <c r="S19" i="5"/>
  <c r="W33" i="2"/>
  <c r="W34" i="2"/>
  <c r="V36" i="2"/>
  <c r="V38" i="2"/>
  <c r="W4" i="2"/>
  <c r="W5" i="2"/>
  <c r="V7" i="2"/>
  <c r="S4" i="5"/>
  <c r="V9" i="2"/>
  <c r="W45" i="2"/>
  <c r="W46" i="2"/>
  <c r="V48" i="2"/>
  <c r="V51" i="2"/>
  <c r="S20" i="5"/>
  <c r="S21" i="5"/>
  <c r="W35" i="2"/>
  <c r="S23" i="5"/>
  <c r="S24" i="5"/>
  <c r="S25" i="5"/>
  <c r="S5" i="5"/>
  <c r="S6" i="5"/>
  <c r="S10" i="5"/>
  <c r="W6" i="2"/>
  <c r="W49" i="2"/>
  <c r="W50" i="2"/>
  <c r="W47" i="2"/>
  <c r="T22" i="5"/>
  <c r="T19" i="5"/>
  <c r="X33" i="2"/>
  <c r="X34" i="2"/>
  <c r="W36" i="2"/>
  <c r="W38" i="2"/>
  <c r="X4" i="2"/>
  <c r="X5" i="2"/>
  <c r="W7" i="2"/>
  <c r="T4" i="5"/>
  <c r="W9" i="2"/>
  <c r="X45" i="2"/>
  <c r="X46" i="2"/>
  <c r="W48" i="2"/>
  <c r="W51" i="2"/>
  <c r="T20" i="5"/>
  <c r="T21" i="5"/>
  <c r="X35" i="2"/>
  <c r="T23" i="5"/>
  <c r="T24" i="5"/>
  <c r="T25" i="5"/>
  <c r="T5" i="5"/>
  <c r="T6" i="5"/>
  <c r="T10" i="5"/>
  <c r="X6" i="2"/>
  <c r="X49" i="2"/>
  <c r="X50" i="2"/>
  <c r="X47" i="2"/>
  <c r="U22" i="5"/>
  <c r="U19" i="5"/>
  <c r="Y33" i="2"/>
  <c r="Y34" i="2"/>
  <c r="X36" i="2"/>
  <c r="X38" i="2"/>
  <c r="Y4" i="2"/>
  <c r="Y5" i="2"/>
  <c r="X7" i="2"/>
  <c r="U4" i="5"/>
  <c r="X9" i="2"/>
  <c r="Y45" i="2"/>
  <c r="Y46" i="2"/>
  <c r="X48" i="2"/>
  <c r="X51" i="2"/>
  <c r="U20" i="5"/>
  <c r="U21" i="5"/>
  <c r="Y35" i="2"/>
  <c r="U23" i="5"/>
  <c r="U24" i="5"/>
  <c r="U25" i="5"/>
  <c r="U26" i="5"/>
  <c r="U5" i="5"/>
  <c r="U6" i="5"/>
  <c r="U10" i="5"/>
  <c r="U11" i="5"/>
  <c r="Y6" i="2"/>
  <c r="Y49" i="2"/>
  <c r="Y50" i="2"/>
  <c r="Y47" i="2"/>
  <c r="V22" i="5"/>
  <c r="V19" i="5"/>
  <c r="Z33" i="2"/>
  <c r="Z34" i="2"/>
  <c r="Y36" i="2"/>
  <c r="Y38" i="2"/>
  <c r="Z4" i="2"/>
  <c r="Z5" i="2"/>
  <c r="Y7" i="2"/>
  <c r="V4" i="5"/>
  <c r="Y9" i="2"/>
  <c r="X12" i="2"/>
  <c r="Z45" i="2"/>
  <c r="Z46" i="2"/>
  <c r="Y48" i="2"/>
  <c r="Y51" i="2"/>
  <c r="V20" i="5"/>
  <c r="V21" i="5"/>
  <c r="Z35" i="2"/>
  <c r="V23" i="5"/>
  <c r="V24" i="5"/>
  <c r="V25" i="5"/>
  <c r="V5" i="5"/>
  <c r="V6" i="5"/>
  <c r="V10" i="5"/>
  <c r="Z6" i="2"/>
  <c r="Z49" i="2"/>
  <c r="Z50" i="2"/>
  <c r="Z47" i="2"/>
  <c r="W22" i="5"/>
  <c r="W19" i="5"/>
  <c r="AA33" i="2"/>
  <c r="AA34" i="2"/>
  <c r="Z36" i="2"/>
  <c r="Z38" i="2"/>
  <c r="AA4" i="2"/>
  <c r="AA5" i="2"/>
  <c r="Z7" i="2"/>
  <c r="W4" i="5"/>
  <c r="Z9" i="2"/>
  <c r="AA45" i="2"/>
  <c r="AA46" i="2"/>
  <c r="Z48" i="2"/>
  <c r="Z51" i="2"/>
  <c r="W20" i="5"/>
  <c r="W21" i="5"/>
  <c r="AA35" i="2"/>
  <c r="W23" i="5"/>
  <c r="W24" i="5"/>
  <c r="W25" i="5"/>
  <c r="W5" i="5"/>
  <c r="W6" i="5"/>
  <c r="W10" i="5"/>
  <c r="AA6" i="2"/>
  <c r="AA49" i="2"/>
  <c r="AA50" i="2"/>
  <c r="AA47" i="2"/>
  <c r="X22" i="5"/>
  <c r="X19" i="5"/>
  <c r="AB33" i="2"/>
  <c r="AB34" i="2"/>
  <c r="AA36" i="2"/>
  <c r="AA38" i="2"/>
  <c r="AB4" i="2"/>
  <c r="AB5" i="2"/>
  <c r="AA7" i="2"/>
  <c r="X4" i="5"/>
  <c r="AA9" i="2"/>
  <c r="AB45" i="2"/>
  <c r="AB46" i="2"/>
  <c r="AA48" i="2"/>
  <c r="AA51" i="2"/>
  <c r="X20" i="5"/>
  <c r="X21" i="5"/>
  <c r="AB35" i="2"/>
  <c r="X23" i="5"/>
  <c r="X24" i="5"/>
  <c r="X25" i="5"/>
  <c r="X5" i="5"/>
  <c r="X6" i="5"/>
  <c r="X10" i="5"/>
  <c r="AB6" i="2"/>
  <c r="AB49" i="2"/>
  <c r="AB50" i="2"/>
  <c r="AB47" i="2"/>
  <c r="Y22" i="5"/>
  <c r="Y19" i="5"/>
  <c r="AC33" i="2"/>
  <c r="AC34" i="2"/>
  <c r="AB36" i="2"/>
  <c r="AB38" i="2"/>
  <c r="AC4" i="2"/>
  <c r="AC5" i="2"/>
  <c r="AB7" i="2"/>
  <c r="Y4" i="5"/>
  <c r="AB9" i="2"/>
  <c r="AC45" i="2"/>
  <c r="AC46" i="2"/>
  <c r="AB48" i="2"/>
  <c r="AB51" i="2"/>
  <c r="Y20" i="5"/>
  <c r="Y21" i="5"/>
  <c r="AC35" i="2"/>
  <c r="Y23" i="5"/>
  <c r="Y24" i="5"/>
  <c r="Y25" i="5"/>
  <c r="Y26" i="5"/>
  <c r="Y5" i="5"/>
  <c r="Y6" i="5"/>
  <c r="Y10" i="5"/>
  <c r="Y11" i="5"/>
  <c r="AC6" i="2"/>
  <c r="AC49" i="2"/>
  <c r="AC50" i="2"/>
  <c r="AC47" i="2"/>
  <c r="Z22" i="5"/>
  <c r="Z19" i="5"/>
  <c r="AD33" i="2"/>
  <c r="AD34" i="2"/>
  <c r="AC36" i="2"/>
  <c r="AC38" i="2"/>
  <c r="AD4" i="2"/>
  <c r="AD5" i="2"/>
  <c r="AC7" i="2"/>
  <c r="Z4" i="5"/>
  <c r="AC9" i="2"/>
  <c r="AB12" i="2"/>
  <c r="AD45" i="2"/>
  <c r="AD46" i="2"/>
  <c r="AC48" i="2"/>
  <c r="AC51" i="2"/>
  <c r="Z20" i="5"/>
  <c r="Z21" i="5"/>
  <c r="AD35" i="2"/>
  <c r="Z23" i="5"/>
  <c r="Z24" i="5"/>
  <c r="Z25" i="5"/>
  <c r="Z5" i="5"/>
  <c r="Z6" i="5"/>
  <c r="Z10" i="5"/>
  <c r="AD6" i="2"/>
  <c r="AD49" i="2"/>
  <c r="AD50" i="2"/>
  <c r="AD47" i="2"/>
  <c r="AA22" i="5"/>
  <c r="AA19" i="5"/>
  <c r="AE33" i="2"/>
  <c r="AE34" i="2"/>
  <c r="AD36" i="2"/>
  <c r="AD38" i="2"/>
  <c r="AE4" i="2"/>
  <c r="AE5" i="2"/>
  <c r="AD7" i="2"/>
  <c r="AA4" i="5"/>
  <c r="AD9" i="2"/>
  <c r="AE45" i="2"/>
  <c r="AE46" i="2"/>
  <c r="AD48" i="2"/>
  <c r="AD51" i="2"/>
  <c r="AA20" i="5"/>
  <c r="AA21" i="5"/>
  <c r="AE35" i="2"/>
  <c r="AA23" i="5"/>
  <c r="AA24" i="5"/>
  <c r="AA25" i="5"/>
  <c r="AA5" i="5"/>
  <c r="AA6" i="5"/>
  <c r="AA10" i="5"/>
  <c r="AE6" i="2"/>
  <c r="AE49" i="2"/>
  <c r="AE50" i="2"/>
  <c r="AE47" i="2"/>
  <c r="AB22" i="5"/>
  <c r="AB19" i="5"/>
  <c r="AF33" i="2"/>
  <c r="AF34" i="2"/>
  <c r="AE36" i="2"/>
  <c r="AE38" i="2"/>
  <c r="AF4" i="2"/>
  <c r="AF5" i="2"/>
  <c r="AE7" i="2"/>
  <c r="AB4" i="5"/>
  <c r="AE9" i="2"/>
  <c r="AF45" i="2"/>
  <c r="AF46" i="2"/>
  <c r="AE48" i="2"/>
  <c r="AE51" i="2"/>
  <c r="AB20" i="5"/>
  <c r="AB21" i="5"/>
  <c r="AF35" i="2"/>
  <c r="AB23" i="5"/>
  <c r="AB24" i="5"/>
  <c r="AB25" i="5"/>
  <c r="AB5" i="5"/>
  <c r="AB6" i="5"/>
  <c r="AB10" i="5"/>
  <c r="AF6" i="2"/>
  <c r="AF49" i="2"/>
  <c r="AF50" i="2"/>
  <c r="AF47" i="2"/>
  <c r="AC22" i="5"/>
  <c r="AC19" i="5"/>
  <c r="AG33" i="2"/>
  <c r="AG34" i="2"/>
  <c r="AF36" i="2"/>
  <c r="AF38" i="2"/>
  <c r="AG4" i="2"/>
  <c r="AG5" i="2"/>
  <c r="AF7" i="2"/>
  <c r="AC4" i="5"/>
  <c r="AF9" i="2"/>
  <c r="AG45" i="2"/>
  <c r="AG46" i="2"/>
  <c r="AF48" i="2"/>
  <c r="AF51" i="2"/>
  <c r="AC20" i="5"/>
  <c r="AC21" i="5"/>
  <c r="AG35" i="2"/>
  <c r="AC23" i="5"/>
  <c r="AC24" i="5"/>
  <c r="AC25" i="5"/>
  <c r="AC26" i="5"/>
  <c r="AC5" i="5"/>
  <c r="AC6" i="5"/>
  <c r="AC10" i="5"/>
  <c r="AC11" i="5"/>
  <c r="AG6" i="2"/>
  <c r="AG49" i="2"/>
  <c r="AG50" i="2"/>
  <c r="AG47" i="2"/>
  <c r="AD22" i="5"/>
  <c r="AD19" i="5"/>
  <c r="AH33" i="2"/>
  <c r="AH34" i="2"/>
  <c r="AG36" i="2"/>
  <c r="AG38" i="2"/>
  <c r="AH4" i="2"/>
  <c r="AH5" i="2"/>
  <c r="AG7" i="2"/>
  <c r="AD4" i="5"/>
  <c r="AG9" i="2"/>
  <c r="AF12" i="2"/>
  <c r="AH45" i="2"/>
  <c r="AH46" i="2"/>
  <c r="AG48" i="2"/>
  <c r="AG51" i="2"/>
  <c r="AD20" i="5"/>
  <c r="AD21" i="5"/>
  <c r="AH35" i="2"/>
  <c r="AD23" i="5"/>
  <c r="AD24" i="5"/>
  <c r="AD25" i="5"/>
  <c r="AD5" i="5"/>
  <c r="AD6" i="5"/>
  <c r="AD10" i="5"/>
  <c r="AH6" i="2"/>
  <c r="AH49" i="2"/>
  <c r="AH50" i="2"/>
  <c r="AH47" i="2"/>
  <c r="AE22" i="5"/>
  <c r="AE19" i="5"/>
  <c r="AI33" i="2"/>
  <c r="AI34" i="2"/>
  <c r="AH36" i="2"/>
  <c r="AH38" i="2"/>
  <c r="AI4" i="2"/>
  <c r="AI5" i="2"/>
  <c r="AH7" i="2"/>
  <c r="AE4" i="5"/>
  <c r="AH9" i="2"/>
  <c r="AI45" i="2"/>
  <c r="AI46" i="2"/>
  <c r="AH48" i="2"/>
  <c r="AH51" i="2"/>
  <c r="AE20" i="5"/>
  <c r="AE21" i="5"/>
  <c r="AI35" i="2"/>
  <c r="AE23" i="5"/>
  <c r="AE24" i="5"/>
  <c r="AE25" i="5"/>
  <c r="AE5" i="5"/>
  <c r="AE6" i="5"/>
  <c r="AE10" i="5"/>
  <c r="AI6" i="2"/>
  <c r="AI49" i="2"/>
  <c r="AI50" i="2"/>
  <c r="AI47" i="2"/>
  <c r="AF22" i="5"/>
  <c r="AF19" i="5"/>
  <c r="AJ33" i="2"/>
  <c r="AJ34" i="2"/>
  <c r="AI36" i="2"/>
  <c r="AI38" i="2"/>
  <c r="AJ4" i="2"/>
  <c r="AJ5" i="2"/>
  <c r="AI7" i="2"/>
  <c r="AF4" i="5"/>
  <c r="AI9" i="2"/>
  <c r="AJ45" i="2"/>
  <c r="AJ46" i="2"/>
  <c r="AI48" i="2"/>
  <c r="AI51" i="2"/>
  <c r="AF20" i="5"/>
  <c r="AF21" i="5"/>
  <c r="AJ35" i="2"/>
  <c r="AF23" i="5"/>
  <c r="AF24" i="5"/>
  <c r="AF25" i="5"/>
  <c r="AF5" i="5"/>
  <c r="AF6" i="5"/>
  <c r="AF10" i="5"/>
  <c r="AJ6" i="2"/>
  <c r="AJ49" i="2"/>
  <c r="AJ50" i="2"/>
  <c r="AJ47" i="2"/>
  <c r="AG22" i="5"/>
  <c r="AG19" i="5"/>
  <c r="AK33" i="2"/>
  <c r="AK34" i="2"/>
  <c r="AJ36" i="2"/>
  <c r="AJ38" i="2"/>
  <c r="AK4" i="2"/>
  <c r="AK5" i="2"/>
  <c r="AJ7" i="2"/>
  <c r="AG4" i="5"/>
  <c r="AJ9" i="2"/>
  <c r="AK45" i="2"/>
  <c r="AK46" i="2"/>
  <c r="AJ48" i="2"/>
  <c r="AJ51" i="2"/>
  <c r="AG20" i="5"/>
  <c r="AG21" i="5"/>
  <c r="AK35" i="2"/>
  <c r="AG23" i="5"/>
  <c r="AG24" i="5"/>
  <c r="AG25" i="5"/>
  <c r="AG26" i="5"/>
  <c r="AG5" i="5"/>
  <c r="AG6" i="5"/>
  <c r="AG10" i="5"/>
  <c r="AG11" i="5"/>
  <c r="AK6" i="2"/>
  <c r="AK49" i="2"/>
  <c r="AK50" i="2"/>
  <c r="AK47" i="2"/>
  <c r="AH22" i="5"/>
  <c r="AH19" i="5"/>
  <c r="AL33" i="2"/>
  <c r="AL34" i="2"/>
  <c r="AK36" i="2"/>
  <c r="AK38" i="2"/>
  <c r="AL4" i="2"/>
  <c r="AL5" i="2"/>
  <c r="AK7" i="2"/>
  <c r="AH4" i="5"/>
  <c r="AK9" i="2"/>
  <c r="AJ12" i="2"/>
  <c r="AL45" i="2"/>
  <c r="AL46" i="2"/>
  <c r="AK48" i="2"/>
  <c r="AK51" i="2"/>
  <c r="AH20" i="5"/>
  <c r="AH21" i="5"/>
  <c r="AL35" i="2"/>
  <c r="AH23" i="5"/>
  <c r="AH24" i="5"/>
  <c r="AH25" i="5"/>
  <c r="AH5" i="5"/>
  <c r="AH6" i="5"/>
  <c r="AH10" i="5"/>
  <c r="AL6" i="2"/>
  <c r="AL49" i="2"/>
  <c r="AL50" i="2"/>
  <c r="AL47" i="2"/>
  <c r="AI22" i="5"/>
  <c r="AI19" i="5"/>
  <c r="AM33" i="2"/>
  <c r="AM34" i="2"/>
  <c r="AL36" i="2"/>
  <c r="AL38" i="2"/>
  <c r="AM4" i="2"/>
  <c r="AM5" i="2"/>
  <c r="AL7" i="2"/>
  <c r="AI4" i="5"/>
  <c r="AL9" i="2"/>
  <c r="AM45" i="2"/>
  <c r="AM46" i="2"/>
  <c r="AL48" i="2"/>
  <c r="AL51" i="2"/>
  <c r="AI20" i="5"/>
  <c r="AI21" i="5"/>
  <c r="AM35" i="2"/>
  <c r="AI23" i="5"/>
  <c r="AI24" i="5"/>
  <c r="AI25" i="5"/>
  <c r="AI5" i="5"/>
  <c r="AI6" i="5"/>
  <c r="AI10" i="5"/>
  <c r="AM6" i="2"/>
  <c r="AM49" i="2"/>
  <c r="AM50" i="2"/>
  <c r="AM47" i="2"/>
  <c r="AJ22" i="5"/>
  <c r="AJ19" i="5"/>
  <c r="AN33" i="2"/>
  <c r="AN34" i="2"/>
  <c r="AM36" i="2"/>
  <c r="AM38" i="2"/>
  <c r="AN4" i="2"/>
  <c r="AN5" i="2"/>
  <c r="AM7" i="2"/>
  <c r="AJ4" i="5"/>
  <c r="AM9" i="2"/>
  <c r="AN45" i="2"/>
  <c r="AN46" i="2"/>
  <c r="AM48" i="2"/>
  <c r="AM51" i="2"/>
  <c r="AJ20" i="5"/>
  <c r="AJ21" i="5"/>
  <c r="AN35" i="2"/>
  <c r="AJ23" i="5"/>
  <c r="AJ24" i="5"/>
  <c r="AJ25" i="5"/>
  <c r="AJ5" i="5"/>
  <c r="AJ6" i="5"/>
  <c r="AJ10" i="5"/>
  <c r="AN6" i="2"/>
  <c r="AN49" i="2"/>
  <c r="AN50" i="2"/>
  <c r="AN47" i="2"/>
  <c r="AK22" i="5"/>
  <c r="AK19" i="5"/>
  <c r="AO33" i="2"/>
  <c r="AO34" i="2"/>
  <c r="AN36" i="2"/>
  <c r="AN38" i="2"/>
  <c r="AO4" i="2"/>
  <c r="AO5" i="2"/>
  <c r="AN7" i="2"/>
  <c r="AK4" i="5"/>
  <c r="AN9" i="2"/>
  <c r="AO45" i="2"/>
  <c r="AO46" i="2"/>
  <c r="AN48" i="2"/>
  <c r="AN51" i="2"/>
  <c r="AK20" i="5"/>
  <c r="AK21" i="5"/>
  <c r="AO35" i="2"/>
  <c r="AK23" i="5"/>
  <c r="AK24" i="5"/>
  <c r="AK25" i="5"/>
  <c r="AK26" i="5"/>
  <c r="AK5" i="5"/>
  <c r="AK6" i="5"/>
  <c r="AK10" i="5"/>
  <c r="AK11" i="5"/>
  <c r="AO6" i="2"/>
  <c r="AO49" i="2"/>
  <c r="AO50" i="2"/>
  <c r="AO47" i="2"/>
  <c r="AL22" i="5"/>
  <c r="AL19" i="5"/>
  <c r="AP33" i="2"/>
  <c r="AP34" i="2"/>
  <c r="AO36" i="2"/>
  <c r="AO38" i="2"/>
  <c r="AP4" i="2"/>
  <c r="AP5" i="2"/>
  <c r="AO7" i="2"/>
  <c r="AL4" i="5"/>
  <c r="AO9" i="2"/>
  <c r="AN12" i="2"/>
  <c r="AP45" i="2"/>
  <c r="AP46" i="2"/>
  <c r="AO48" i="2"/>
  <c r="AO51" i="2"/>
  <c r="AL20" i="5"/>
  <c r="AL21" i="5"/>
  <c r="AP35" i="2"/>
  <c r="AL23" i="5"/>
  <c r="AL24" i="5"/>
  <c r="AL25" i="5"/>
  <c r="AL5" i="5"/>
  <c r="AL6" i="5"/>
  <c r="AL10" i="5"/>
  <c r="AP6" i="2"/>
  <c r="AP49" i="2"/>
  <c r="AP50" i="2"/>
  <c r="AP47" i="2"/>
  <c r="AM22" i="5"/>
  <c r="AM19" i="5"/>
  <c r="AQ33" i="2"/>
  <c r="AQ34" i="2"/>
  <c r="AP36" i="2"/>
  <c r="AP38" i="2"/>
  <c r="AQ4" i="2"/>
  <c r="AQ5" i="2"/>
  <c r="AP7" i="2"/>
  <c r="AM4" i="5"/>
  <c r="AP9" i="2"/>
  <c r="AQ45" i="2"/>
  <c r="AQ46" i="2"/>
  <c r="AP48" i="2"/>
  <c r="AP51" i="2"/>
  <c r="AM20" i="5"/>
  <c r="AM21" i="5"/>
  <c r="AQ35" i="2"/>
  <c r="AM23" i="5"/>
  <c r="AM24" i="5"/>
  <c r="AM25" i="5"/>
  <c r="AM5" i="5"/>
  <c r="AM6" i="5"/>
  <c r="AM10" i="5"/>
  <c r="AQ6" i="2"/>
  <c r="AQ49" i="2"/>
  <c r="AQ50" i="2"/>
  <c r="AQ47" i="2"/>
  <c r="AN22" i="5"/>
  <c r="AN19" i="5"/>
  <c r="AR33" i="2"/>
  <c r="AR34" i="2"/>
  <c r="AQ36" i="2"/>
  <c r="AQ38" i="2"/>
  <c r="AR4" i="2"/>
  <c r="AR5" i="2"/>
  <c r="AQ7" i="2"/>
  <c r="AN4" i="5"/>
  <c r="AQ9" i="2"/>
  <c r="AR45" i="2"/>
  <c r="AR46" i="2"/>
  <c r="AQ48" i="2"/>
  <c r="AQ51" i="2"/>
  <c r="AN20" i="5"/>
  <c r="AN21" i="5"/>
  <c r="AR35" i="2"/>
  <c r="AN23" i="5"/>
  <c r="AN24" i="5"/>
  <c r="AN25" i="5"/>
  <c r="AN5" i="5"/>
  <c r="AN6" i="5"/>
  <c r="AN10" i="5"/>
  <c r="AR6" i="2"/>
  <c r="AR49" i="2"/>
  <c r="AR50" i="2"/>
  <c r="AR47" i="2"/>
  <c r="AO22" i="5"/>
  <c r="AO19" i="5"/>
  <c r="AS33" i="2"/>
  <c r="AS34" i="2"/>
  <c r="AR36" i="2"/>
  <c r="AR38" i="2"/>
  <c r="AS4" i="2"/>
  <c r="AS5" i="2"/>
  <c r="AR7" i="2"/>
  <c r="AO4" i="5"/>
  <c r="AR9" i="2"/>
  <c r="AS45" i="2"/>
  <c r="AS46" i="2"/>
  <c r="AR48" i="2"/>
  <c r="AR51" i="2"/>
  <c r="AO20" i="5"/>
  <c r="AO21" i="5"/>
  <c r="AS35" i="2"/>
  <c r="AO23" i="5"/>
  <c r="AO24" i="5"/>
  <c r="AO25" i="5"/>
  <c r="AO26" i="5"/>
  <c r="AO5" i="5"/>
  <c r="AO6" i="5"/>
  <c r="AO10" i="5"/>
  <c r="AO11" i="5"/>
  <c r="AS6" i="2"/>
  <c r="AS49" i="2"/>
  <c r="AS50" i="2"/>
  <c r="AS47" i="2"/>
  <c r="AP22" i="5"/>
  <c r="AP19" i="5"/>
  <c r="AT33" i="2"/>
  <c r="AT34" i="2"/>
  <c r="AS36" i="2"/>
  <c r="AS38" i="2"/>
  <c r="AT4" i="2"/>
  <c r="AT5" i="2"/>
  <c r="AS7" i="2"/>
  <c r="AP4" i="5"/>
  <c r="AS9" i="2"/>
  <c r="AR12" i="2"/>
  <c r="AT45" i="2"/>
  <c r="AT46" i="2"/>
  <c r="AS48" i="2"/>
  <c r="AS51" i="2"/>
  <c r="AP20" i="5"/>
  <c r="AP21" i="5"/>
  <c r="AT35" i="2"/>
  <c r="AP23" i="5"/>
  <c r="AP24" i="5"/>
  <c r="AP25" i="5"/>
  <c r="AP5" i="5"/>
  <c r="AP6" i="5"/>
  <c r="AP10" i="5"/>
  <c r="AT6" i="2"/>
  <c r="AT49" i="2"/>
  <c r="AT50" i="2"/>
  <c r="AT47" i="2"/>
  <c r="AQ22" i="5"/>
  <c r="AQ19" i="5"/>
  <c r="AU33" i="2"/>
  <c r="AU34" i="2"/>
  <c r="AT36" i="2"/>
  <c r="AT38" i="2"/>
  <c r="AU4" i="2"/>
  <c r="AU5" i="2"/>
  <c r="AT7" i="2"/>
  <c r="AQ4" i="5"/>
  <c r="AT9" i="2"/>
  <c r="AU45" i="2"/>
  <c r="AU46" i="2"/>
  <c r="AT48" i="2"/>
  <c r="AT51" i="2"/>
  <c r="AQ20" i="5"/>
  <c r="AQ21" i="5"/>
  <c r="AU35" i="2"/>
  <c r="AQ23" i="5"/>
  <c r="AQ24" i="5"/>
  <c r="AQ25" i="5"/>
  <c r="AQ5" i="5"/>
  <c r="AQ6" i="5"/>
  <c r="AQ10" i="5"/>
  <c r="AU6" i="2"/>
  <c r="AU49" i="2"/>
  <c r="AU50" i="2"/>
  <c r="AU47" i="2"/>
  <c r="AR22" i="5"/>
  <c r="AR19" i="5"/>
  <c r="AV33" i="2"/>
  <c r="AV34" i="2"/>
  <c r="AU36" i="2"/>
  <c r="AU38" i="2"/>
  <c r="AV4" i="2"/>
  <c r="AV5" i="2"/>
  <c r="AU7" i="2"/>
  <c r="AR4" i="5"/>
  <c r="AU9" i="2"/>
  <c r="AV45" i="2"/>
  <c r="AV46" i="2"/>
  <c r="AU48" i="2"/>
  <c r="AU51" i="2"/>
  <c r="AR20" i="5"/>
  <c r="AR21" i="5"/>
  <c r="AV35" i="2"/>
  <c r="AR23" i="5"/>
  <c r="AR24" i="5"/>
  <c r="AR25" i="5"/>
  <c r="AR5" i="5"/>
  <c r="AR6" i="5"/>
  <c r="AR10" i="5"/>
  <c r="AV6" i="2"/>
  <c r="AV49" i="2"/>
  <c r="AV50" i="2"/>
  <c r="AV47" i="2"/>
  <c r="AS22" i="5"/>
  <c r="AS19" i="5"/>
  <c r="AW33" i="2"/>
  <c r="AW34" i="2"/>
  <c r="AV36" i="2"/>
  <c r="AV38" i="2"/>
  <c r="AW4" i="2"/>
  <c r="AW5" i="2"/>
  <c r="AV7" i="2"/>
  <c r="AS4" i="5"/>
  <c r="AV9" i="2"/>
  <c r="AW45" i="2"/>
  <c r="AW46" i="2"/>
  <c r="AV48" i="2"/>
  <c r="AV51" i="2"/>
  <c r="AS20" i="5"/>
  <c r="AS21" i="5"/>
  <c r="AW35" i="2"/>
  <c r="AS23" i="5"/>
  <c r="AS24" i="5"/>
  <c r="AS25" i="5"/>
  <c r="AS26" i="5"/>
  <c r="AS5" i="5"/>
  <c r="AS6" i="5"/>
  <c r="AS10" i="5"/>
  <c r="AS11" i="5"/>
  <c r="AW6" i="2"/>
  <c r="AW49" i="2"/>
  <c r="AW50" i="2"/>
  <c r="AW47" i="2"/>
  <c r="AT22" i="5"/>
  <c r="AT19" i="5"/>
  <c r="AX33" i="2"/>
  <c r="AX34" i="2"/>
  <c r="AW36" i="2"/>
  <c r="AW38" i="2"/>
  <c r="AX4" i="2"/>
  <c r="AX5" i="2"/>
  <c r="AW7" i="2"/>
  <c r="AT4" i="5"/>
  <c r="AW9" i="2"/>
  <c r="AV12" i="2"/>
  <c r="AX45" i="2"/>
  <c r="AX46" i="2"/>
  <c r="AW48" i="2"/>
  <c r="AW51" i="2"/>
  <c r="AT20" i="5"/>
  <c r="AT21" i="5"/>
  <c r="AX35" i="2"/>
  <c r="AT23" i="5"/>
  <c r="AT24" i="5"/>
  <c r="AT25" i="5"/>
  <c r="AT5" i="5"/>
  <c r="AT6" i="5"/>
  <c r="AT10" i="5"/>
  <c r="AX6" i="2"/>
  <c r="AX49" i="2"/>
  <c r="AX50" i="2"/>
  <c r="AX47" i="2"/>
  <c r="AU22" i="5"/>
  <c r="AU19" i="5"/>
  <c r="AY33" i="2"/>
  <c r="AY34" i="2"/>
  <c r="AX36" i="2"/>
  <c r="AX38" i="2"/>
  <c r="AY4" i="2"/>
  <c r="AY5" i="2"/>
  <c r="AX7" i="2"/>
  <c r="AU4" i="5"/>
  <c r="AX9" i="2"/>
  <c r="AY45" i="2"/>
  <c r="AY46" i="2"/>
  <c r="AX48" i="2"/>
  <c r="AX51" i="2"/>
  <c r="AU20" i="5"/>
  <c r="AU21" i="5"/>
  <c r="AY35" i="2"/>
  <c r="AU23" i="5"/>
  <c r="AU24" i="5"/>
  <c r="AU25" i="5"/>
  <c r="AU5" i="5"/>
  <c r="AU6" i="5"/>
  <c r="AU10" i="5"/>
  <c r="AY6" i="2"/>
  <c r="AY49" i="2"/>
  <c r="AY50" i="2"/>
  <c r="AY47" i="2"/>
  <c r="AV22" i="5"/>
  <c r="AV19" i="5"/>
  <c r="AZ33" i="2"/>
  <c r="AZ34" i="2"/>
  <c r="AY36" i="2"/>
  <c r="AY38" i="2"/>
  <c r="AZ4" i="2"/>
  <c r="AZ5" i="2"/>
  <c r="AY7" i="2"/>
  <c r="AV4" i="5"/>
  <c r="AY9" i="2"/>
  <c r="AZ45" i="2"/>
  <c r="AZ46" i="2"/>
  <c r="AY48" i="2"/>
  <c r="AY51" i="2"/>
  <c r="AV20" i="5"/>
  <c r="AV21" i="5"/>
  <c r="AZ35" i="2"/>
  <c r="AV23" i="5"/>
  <c r="AV24" i="5"/>
  <c r="AV25" i="5"/>
  <c r="AV5" i="5"/>
  <c r="AV6" i="5"/>
  <c r="AV10" i="5"/>
  <c r="AZ6" i="2"/>
  <c r="AZ49" i="2"/>
  <c r="AZ50" i="2"/>
  <c r="AZ47" i="2"/>
  <c r="AW22" i="5"/>
  <c r="AW19" i="5"/>
  <c r="BA33" i="2"/>
  <c r="BA34" i="2"/>
  <c r="AZ36" i="2"/>
  <c r="AZ38" i="2"/>
  <c r="AZ7" i="2"/>
  <c r="BA4" i="2"/>
  <c r="BA5" i="2"/>
  <c r="AW4" i="5"/>
  <c r="AZ9" i="2"/>
  <c r="BA45" i="2"/>
  <c r="BA46" i="2"/>
  <c r="AZ48" i="2"/>
  <c r="AZ51" i="2"/>
  <c r="AW20" i="5"/>
  <c r="AW21" i="5"/>
  <c r="E57" i="2"/>
  <c r="BA35" i="2"/>
  <c r="AW23" i="5"/>
  <c r="AW24" i="5"/>
  <c r="AW25" i="5"/>
  <c r="AW26" i="5"/>
  <c r="E58" i="2"/>
  <c r="E59" i="2"/>
  <c r="E60" i="2"/>
  <c r="B14" i="8"/>
  <c r="D14" i="8"/>
  <c r="D17" i="8"/>
  <c r="BA6" i="2"/>
  <c r="AW5" i="5"/>
  <c r="AW6" i="5"/>
  <c r="AW10" i="5"/>
  <c r="AW11" i="5"/>
  <c r="BU9" i="2"/>
  <c r="BV9" i="2"/>
  <c r="BV11" i="2"/>
  <c r="B3" i="8"/>
  <c r="D3" i="8"/>
  <c r="D6" i="8"/>
  <c r="B18" i="1"/>
  <c r="BA49" i="2"/>
  <c r="BA50" i="2"/>
  <c r="BA47" i="2"/>
  <c r="AX22" i="5"/>
  <c r="AX19" i="5"/>
  <c r="BB33" i="2"/>
  <c r="BB34" i="2"/>
  <c r="BA36" i="2"/>
  <c r="BA38" i="2"/>
  <c r="D7" i="8"/>
  <c r="AZ12" i="2"/>
  <c r="E13" i="2"/>
  <c r="BA9" i="2"/>
  <c r="BA7" i="2"/>
  <c r="BB4" i="2"/>
  <c r="BB5" i="2"/>
  <c r="AX4" i="5"/>
  <c r="G18" i="1"/>
  <c r="D18" i="8"/>
  <c r="BB45" i="2"/>
  <c r="BB46" i="2"/>
  <c r="BA48" i="2"/>
  <c r="AX23" i="5"/>
  <c r="AX24" i="5"/>
  <c r="BA51" i="2"/>
  <c r="AX20" i="5"/>
  <c r="AX21" i="5"/>
  <c r="AX25" i="5"/>
  <c r="BB35" i="2"/>
  <c r="BB6" i="2"/>
  <c r="AX5" i="5"/>
  <c r="AX6" i="5"/>
  <c r="AX10" i="5"/>
  <c r="BB49" i="2"/>
  <c r="BB50" i="2"/>
  <c r="BB47" i="2"/>
  <c r="AY22" i="5"/>
  <c r="AY19" i="5"/>
  <c r="BC33" i="2"/>
  <c r="BC34" i="2"/>
  <c r="BB36" i="2"/>
  <c r="BB38" i="2"/>
  <c r="BB9" i="2"/>
  <c r="BB7" i="2"/>
  <c r="BC4" i="2"/>
  <c r="BC5" i="2"/>
  <c r="AY4" i="5"/>
  <c r="BC45" i="2"/>
  <c r="BC46" i="2"/>
  <c r="BB48" i="2"/>
  <c r="AY23" i="5"/>
  <c r="AY24" i="5"/>
  <c r="BB51" i="2"/>
  <c r="AY20" i="5"/>
  <c r="AY21" i="5"/>
  <c r="AY25" i="5"/>
  <c r="BC35" i="2"/>
  <c r="BC6" i="2"/>
  <c r="AY5" i="5"/>
  <c r="AY6" i="5"/>
  <c r="AY10" i="5"/>
  <c r="BC49" i="2"/>
  <c r="BC50" i="2"/>
  <c r="BC47" i="2"/>
  <c r="AZ22" i="5"/>
  <c r="AZ19" i="5"/>
  <c r="BD33" i="2"/>
  <c r="BD34" i="2"/>
  <c r="BC36" i="2"/>
  <c r="BC38" i="2"/>
  <c r="BC9" i="2"/>
  <c r="BC7" i="2"/>
  <c r="BD4" i="2"/>
  <c r="BD5" i="2"/>
  <c r="AZ5" i="5"/>
  <c r="AZ6" i="5"/>
  <c r="AZ10" i="5"/>
  <c r="AZ4" i="5"/>
  <c r="BD45" i="2"/>
  <c r="BD46" i="2"/>
  <c r="BC48" i="2"/>
  <c r="AZ23" i="5"/>
  <c r="AZ24" i="5"/>
  <c r="BC51" i="2"/>
  <c r="AZ20" i="5"/>
  <c r="AZ21" i="5"/>
  <c r="AZ25" i="5"/>
  <c r="BD35" i="2"/>
  <c r="BD6" i="2"/>
  <c r="BD49" i="2"/>
  <c r="BD50" i="2"/>
  <c r="BD47" i="2"/>
  <c r="BA22" i="5"/>
  <c r="BA19" i="5"/>
  <c r="BE33" i="2"/>
  <c r="BE34" i="2"/>
  <c r="BD36" i="2"/>
  <c r="BD38" i="2"/>
  <c r="BD9" i="2"/>
  <c r="BD7" i="2"/>
  <c r="BE4" i="2"/>
  <c r="BE5" i="2"/>
  <c r="BA4" i="5"/>
  <c r="BE45" i="2"/>
  <c r="BE46" i="2"/>
  <c r="BD48" i="2"/>
  <c r="BA23" i="5"/>
  <c r="BA24" i="5"/>
  <c r="BD51" i="2"/>
  <c r="BA20" i="5"/>
  <c r="BA21" i="5"/>
  <c r="BA25" i="5"/>
  <c r="BA26" i="5"/>
  <c r="BE35" i="2"/>
  <c r="BE6" i="2"/>
  <c r="BA5" i="5"/>
  <c r="BA6" i="5"/>
  <c r="BA10" i="5"/>
  <c r="BA11" i="5"/>
  <c r="BE49" i="2"/>
  <c r="BE50" i="2"/>
  <c r="BE47" i="2"/>
  <c r="BB22" i="5"/>
  <c r="BB19" i="5"/>
  <c r="BF33" i="2"/>
  <c r="BF34" i="2"/>
  <c r="BE36" i="2"/>
  <c r="BE38" i="2"/>
  <c r="BE9" i="2"/>
  <c r="BE7" i="2"/>
  <c r="BF4" i="2"/>
  <c r="BF5" i="2"/>
  <c r="BB4" i="5"/>
  <c r="BF45" i="2"/>
  <c r="BF46" i="2"/>
  <c r="BE48" i="2"/>
  <c r="BB23" i="5"/>
  <c r="BB24" i="5"/>
  <c r="BE51" i="2"/>
  <c r="BB20" i="5"/>
  <c r="BB21" i="5"/>
  <c r="BB25" i="5"/>
  <c r="BF35" i="2"/>
  <c r="BF6" i="2"/>
  <c r="BB5" i="5"/>
  <c r="BB6" i="5"/>
  <c r="BB10" i="5"/>
  <c r="BF49" i="2"/>
  <c r="BF50" i="2"/>
  <c r="BF47" i="2"/>
  <c r="BC22" i="5"/>
  <c r="BC19" i="5"/>
  <c r="BG33" i="2"/>
  <c r="BG34" i="2"/>
  <c r="BF36" i="2"/>
  <c r="BF38" i="2"/>
  <c r="BF9" i="2"/>
  <c r="BF7" i="2"/>
  <c r="BG4" i="2"/>
  <c r="BG5" i="2"/>
  <c r="BC4" i="5"/>
  <c r="BG45" i="2"/>
  <c r="BG46" i="2"/>
  <c r="BF48" i="2"/>
  <c r="BC23" i="5"/>
  <c r="BC24" i="5"/>
  <c r="BF51" i="2"/>
  <c r="BC20" i="5"/>
  <c r="BC21" i="5"/>
  <c r="BC25" i="5"/>
  <c r="BG35" i="2"/>
  <c r="BG6" i="2"/>
  <c r="BC5" i="5"/>
  <c r="BC6" i="5"/>
  <c r="BC10" i="5"/>
  <c r="BG49" i="2"/>
  <c r="BG50" i="2"/>
  <c r="BG47" i="2"/>
  <c r="BD22" i="5"/>
  <c r="BD19" i="5"/>
  <c r="BH33" i="2"/>
  <c r="BH34" i="2"/>
  <c r="BG36" i="2"/>
  <c r="BG38" i="2"/>
  <c r="BG9" i="2"/>
  <c r="BG7" i="2"/>
  <c r="BH4" i="2"/>
  <c r="BH5" i="2"/>
  <c r="BD4" i="5"/>
  <c r="BH45" i="2"/>
  <c r="BH46" i="2"/>
  <c r="BG48" i="2"/>
  <c r="BD23" i="5"/>
  <c r="BD24" i="5"/>
  <c r="BG51" i="2"/>
  <c r="BD20" i="5"/>
  <c r="BD21" i="5"/>
  <c r="BD25" i="5"/>
  <c r="BH35" i="2"/>
  <c r="BH6" i="2"/>
  <c r="BD5" i="5"/>
  <c r="BD6" i="5"/>
  <c r="BD10" i="5"/>
  <c r="BH49" i="2"/>
  <c r="BH50" i="2"/>
  <c r="BH47" i="2"/>
  <c r="BE22" i="5"/>
  <c r="BE19" i="5"/>
  <c r="BI33" i="2"/>
  <c r="BI34" i="2"/>
  <c r="BH36" i="2"/>
  <c r="BH38" i="2"/>
  <c r="BH9" i="2"/>
  <c r="BH7" i="2"/>
  <c r="BI4" i="2"/>
  <c r="BI5" i="2"/>
  <c r="BE4" i="5"/>
  <c r="BI45" i="2"/>
  <c r="BI46" i="2"/>
  <c r="BH48" i="2"/>
  <c r="BE23" i="5"/>
  <c r="BE24" i="5"/>
  <c r="BH51" i="2"/>
  <c r="BE20" i="5"/>
  <c r="BE21" i="5"/>
  <c r="BE25" i="5"/>
  <c r="BE26" i="5"/>
  <c r="BI35" i="2"/>
  <c r="BI6" i="2"/>
  <c r="BE5" i="5"/>
  <c r="BE6" i="5"/>
  <c r="BE10" i="5"/>
  <c r="BE11" i="5"/>
  <c r="BI49" i="2"/>
  <c r="BI50" i="2"/>
  <c r="BI47" i="2"/>
  <c r="BF22" i="5"/>
  <c r="BF19" i="5"/>
  <c r="BJ33" i="2"/>
  <c r="BJ34" i="2"/>
  <c r="BI36" i="2"/>
  <c r="BI38" i="2"/>
  <c r="BI9" i="2"/>
  <c r="BI7" i="2"/>
  <c r="BJ4" i="2"/>
  <c r="BJ5" i="2"/>
  <c r="BF4" i="5"/>
  <c r="BJ45" i="2"/>
  <c r="BJ46" i="2"/>
  <c r="BI48" i="2"/>
  <c r="BF23" i="5"/>
  <c r="BF24" i="5"/>
  <c r="BI51" i="2"/>
  <c r="BF20" i="5"/>
  <c r="BF21" i="5"/>
  <c r="BF25" i="5"/>
  <c r="BJ35" i="2"/>
  <c r="BJ6" i="2"/>
  <c r="BF5" i="5"/>
  <c r="BF6" i="5"/>
  <c r="BF10" i="5"/>
  <c r="BJ49" i="2"/>
  <c r="BJ50" i="2"/>
  <c r="BJ47" i="2"/>
  <c r="BG22" i="5"/>
  <c r="BG19" i="5"/>
  <c r="BK33" i="2"/>
  <c r="BK34" i="2"/>
  <c r="BJ36" i="2"/>
  <c r="BJ38" i="2"/>
  <c r="BJ9" i="2"/>
  <c r="BJ7" i="2"/>
  <c r="BK4" i="2"/>
  <c r="BK5" i="2"/>
  <c r="BG4" i="5"/>
  <c r="BK45" i="2"/>
  <c r="BK46" i="2"/>
  <c r="BJ48" i="2"/>
  <c r="BG23" i="5"/>
  <c r="BG24" i="5"/>
  <c r="BJ51" i="2"/>
  <c r="BG20" i="5"/>
  <c r="BG21" i="5"/>
  <c r="BG25" i="5"/>
  <c r="BK35" i="2"/>
  <c r="BK6" i="2"/>
  <c r="BG5" i="5"/>
  <c r="BG6" i="5"/>
  <c r="BG10" i="5"/>
  <c r="BK49" i="2"/>
  <c r="BK50" i="2"/>
  <c r="BK47" i="2"/>
  <c r="BH22" i="5"/>
  <c r="BH19" i="5"/>
  <c r="BL33" i="2"/>
  <c r="BL34" i="2"/>
  <c r="BK36" i="2"/>
  <c r="BK38" i="2"/>
  <c r="BK9" i="2"/>
  <c r="BK7" i="2"/>
  <c r="BL4" i="2"/>
  <c r="BL5" i="2"/>
  <c r="BH4" i="5"/>
  <c r="BL45" i="2"/>
  <c r="BL46" i="2"/>
  <c r="BK48" i="2"/>
  <c r="BH23" i="5"/>
  <c r="BH24" i="5"/>
  <c r="BK51" i="2"/>
  <c r="BH20" i="5"/>
  <c r="BH21" i="5"/>
  <c r="BH25" i="5"/>
  <c r="BL35" i="2"/>
  <c r="BL6" i="2"/>
  <c r="BH5" i="5"/>
  <c r="BH6" i="5"/>
  <c r="BH10" i="5"/>
  <c r="BL49" i="2"/>
  <c r="BL50" i="2"/>
  <c r="BL47" i="2"/>
  <c r="BI22" i="5"/>
  <c r="BI19" i="5"/>
  <c r="BM33" i="2"/>
  <c r="BM34" i="2"/>
  <c r="BL36" i="2"/>
  <c r="BL38" i="2"/>
  <c r="BL9" i="2"/>
  <c r="BL7" i="2"/>
  <c r="BM4" i="2"/>
  <c r="BM5" i="2"/>
  <c r="BI4" i="5"/>
  <c r="BM45" i="2"/>
  <c r="BM46" i="2"/>
  <c r="BL48" i="2"/>
  <c r="BI23" i="5"/>
  <c r="BI24" i="5"/>
  <c r="BL51" i="2"/>
  <c r="BI20" i="5"/>
  <c r="BI21" i="5"/>
  <c r="BI25" i="5"/>
  <c r="BI26" i="5"/>
  <c r="BM35" i="2"/>
  <c r="BM6" i="2"/>
  <c r="BI5" i="5"/>
  <c r="BI6" i="5"/>
  <c r="BI10" i="5"/>
  <c r="BI11" i="5"/>
  <c r="BM49" i="2"/>
  <c r="BM50" i="2"/>
  <c r="BM47" i="2"/>
  <c r="BJ22" i="5"/>
  <c r="BJ19" i="5"/>
  <c r="BN33" i="2"/>
  <c r="BN34" i="2"/>
  <c r="BM36" i="2"/>
  <c r="BM38" i="2"/>
  <c r="BM9" i="2"/>
  <c r="BM7" i="2"/>
  <c r="BN4" i="2"/>
  <c r="BN5" i="2"/>
  <c r="BJ4" i="5"/>
  <c r="BN45" i="2"/>
  <c r="BN46" i="2"/>
  <c r="BM48" i="2"/>
  <c r="BJ23" i="5"/>
  <c r="BJ24" i="5"/>
  <c r="BM51" i="2"/>
  <c r="BJ20" i="5"/>
  <c r="BJ21" i="5"/>
  <c r="BJ25" i="5"/>
  <c r="BN35" i="2"/>
  <c r="BN6" i="2"/>
  <c r="BJ5" i="5"/>
  <c r="BJ6" i="5"/>
  <c r="BJ10" i="5"/>
  <c r="BN49" i="2"/>
  <c r="BN50" i="2"/>
  <c r="BN47" i="2"/>
  <c r="BK22" i="5"/>
  <c r="BK19" i="5"/>
  <c r="BO33" i="2"/>
  <c r="BN36" i="2"/>
  <c r="BN38" i="2"/>
  <c r="BN9" i="2"/>
  <c r="BN7" i="2"/>
  <c r="BO4" i="2"/>
  <c r="BO5" i="2"/>
  <c r="BK4" i="5"/>
  <c r="BO45" i="2"/>
  <c r="BO46" i="2"/>
  <c r="BN48" i="2"/>
  <c r="BK23" i="5"/>
  <c r="BK24" i="5"/>
  <c r="BN51" i="2"/>
  <c r="BO34" i="2"/>
  <c r="BP34" i="2"/>
  <c r="BK20" i="5"/>
  <c r="BK21" i="5"/>
  <c r="BK25" i="5"/>
  <c r="BO35" i="2"/>
  <c r="BP5" i="2"/>
  <c r="BO6" i="2"/>
  <c r="G21" i="14"/>
  <c r="BK5" i="5"/>
  <c r="BK6" i="5"/>
  <c r="BK10" i="5"/>
  <c r="BO49" i="2"/>
  <c r="BO50" i="2"/>
  <c r="F40" i="2"/>
  <c r="G27" i="1"/>
  <c r="BP46" i="2"/>
  <c r="BO47" i="2"/>
  <c r="BL22" i="5"/>
  <c r="G20" i="17"/>
  <c r="H21" i="14"/>
  <c r="B10" i="14"/>
  <c r="B9" i="17"/>
  <c r="G21" i="13"/>
  <c r="G57" i="17"/>
  <c r="BL19" i="5"/>
  <c r="B35" i="17"/>
  <c r="BO36" i="2"/>
  <c r="BP33" i="2"/>
  <c r="BO38" i="2"/>
  <c r="E40" i="2"/>
  <c r="BP37" i="2"/>
  <c r="BP38" i="2"/>
  <c r="BQ37" i="2"/>
  <c r="BQ49" i="2"/>
  <c r="BO9" i="2"/>
  <c r="BP8" i="2"/>
  <c r="BO7" i="2"/>
  <c r="BL4" i="5"/>
  <c r="BP4" i="2"/>
  <c r="BP6" i="2"/>
  <c r="BO48" i="2"/>
  <c r="BP45" i="2"/>
  <c r="BP49" i="2"/>
  <c r="BL23" i="5"/>
  <c r="BL24" i="5"/>
  <c r="BO51" i="2"/>
  <c r="BP9" i="2"/>
  <c r="BQ9" i="2"/>
  <c r="G13" i="2"/>
  <c r="I21" i="14"/>
  <c r="H20" i="17"/>
  <c r="G26" i="1"/>
  <c r="BL20" i="5"/>
  <c r="BL21" i="5"/>
  <c r="BL25" i="5"/>
  <c r="BL26" i="5"/>
  <c r="G17" i="1"/>
  <c r="G19" i="1"/>
  <c r="BP39" i="2"/>
  <c r="BP36" i="2"/>
  <c r="H21" i="13"/>
  <c r="H57" i="17"/>
  <c r="E54" i="2"/>
  <c r="F4" i="4"/>
  <c r="F7" i="4"/>
  <c r="BP50" i="2"/>
  <c r="BP10" i="2"/>
  <c r="BL5" i="5"/>
  <c r="BL6" i="5"/>
  <c r="BL10" i="5"/>
  <c r="BL11" i="5"/>
  <c r="B17" i="1"/>
  <c r="G20" i="14"/>
  <c r="H13" i="14"/>
  <c r="H12" i="17"/>
  <c r="H69" i="17"/>
  <c r="H111" i="17"/>
  <c r="BQ10" i="2"/>
  <c r="BP51" i="2"/>
  <c r="BP48" i="2"/>
  <c r="J21" i="14"/>
  <c r="I20" i="17"/>
  <c r="B26" i="1"/>
  <c r="E15" i="2"/>
  <c r="G15" i="2"/>
  <c r="H15" i="2"/>
  <c r="H74" i="17"/>
  <c r="H118" i="17"/>
  <c r="G74" i="17"/>
  <c r="G118" i="17"/>
  <c r="I21" i="13"/>
  <c r="I57" i="17"/>
  <c r="G4" i="13"/>
  <c r="I26" i="1"/>
  <c r="H19" i="17"/>
  <c r="H73" i="17"/>
  <c r="H116" i="17"/>
  <c r="I27" i="1"/>
  <c r="I29" i="1"/>
  <c r="I13" i="14"/>
  <c r="I12" i="17"/>
  <c r="H20" i="14"/>
  <c r="B11" i="4"/>
  <c r="B21" i="1"/>
  <c r="B4" i="4"/>
  <c r="G4" i="14"/>
  <c r="G4" i="17"/>
  <c r="D26" i="1"/>
  <c r="D29" i="1"/>
  <c r="D32" i="1"/>
  <c r="K21" i="14"/>
  <c r="J20" i="17"/>
  <c r="I74" i="17"/>
  <c r="I118" i="17"/>
  <c r="G9" i="17"/>
  <c r="H9" i="17"/>
  <c r="I9" i="17"/>
  <c r="J9" i="17"/>
  <c r="K9" i="17"/>
  <c r="L9" i="17"/>
  <c r="M9" i="17"/>
  <c r="N9" i="17"/>
  <c r="O9" i="17"/>
  <c r="P9" i="17"/>
  <c r="G10" i="17"/>
  <c r="G40" i="17"/>
  <c r="H4" i="13"/>
  <c r="G7" i="13"/>
  <c r="G50" i="13"/>
  <c r="G13" i="1"/>
  <c r="G21" i="1"/>
  <c r="I32" i="1"/>
  <c r="F11" i="4"/>
  <c r="G11" i="13"/>
  <c r="J21" i="13"/>
  <c r="J57" i="17"/>
  <c r="I19" i="17"/>
  <c r="I69" i="17"/>
  <c r="H10" i="14"/>
  <c r="I10" i="14"/>
  <c r="J10" i="14"/>
  <c r="K10" i="14"/>
  <c r="L10" i="14"/>
  <c r="M10" i="14"/>
  <c r="N10" i="14"/>
  <c r="O10" i="14"/>
  <c r="P10" i="14"/>
  <c r="J13" i="14"/>
  <c r="J12" i="17"/>
  <c r="I20" i="14"/>
  <c r="L21" i="14"/>
  <c r="K20" i="17"/>
  <c r="G6" i="17"/>
  <c r="G14" i="17"/>
  <c r="G15" i="17"/>
  <c r="H4" i="17"/>
  <c r="H4" i="14"/>
  <c r="G7" i="14"/>
  <c r="G15" i="14"/>
  <c r="G16" i="14"/>
  <c r="G18" i="14"/>
  <c r="G24" i="14"/>
  <c r="B7" i="4"/>
  <c r="B10" i="4"/>
  <c r="I73" i="17"/>
  <c r="I116" i="17"/>
  <c r="I111" i="17"/>
  <c r="J74" i="17"/>
  <c r="J118" i="17"/>
  <c r="K21" i="13"/>
  <c r="K57" i="17"/>
  <c r="G47" i="17"/>
  <c r="G51" i="13"/>
  <c r="G57" i="13"/>
  <c r="G59" i="13"/>
  <c r="G61" i="13"/>
  <c r="G66" i="13"/>
  <c r="G68" i="13"/>
  <c r="H11" i="13"/>
  <c r="G10" i="13"/>
  <c r="G46" i="17"/>
  <c r="H46" i="17"/>
  <c r="I46" i="17"/>
  <c r="J46" i="17"/>
  <c r="K46" i="17"/>
  <c r="L46" i="17"/>
  <c r="M46" i="17"/>
  <c r="N46" i="17"/>
  <c r="O46" i="17"/>
  <c r="P46" i="17"/>
  <c r="F10" i="4"/>
  <c r="F13" i="4"/>
  <c r="I4" i="13"/>
  <c r="H7" i="13"/>
  <c r="H50" i="13"/>
  <c r="G43" i="17"/>
  <c r="J19" i="17"/>
  <c r="J69" i="17"/>
  <c r="K13" i="14"/>
  <c r="K12" i="17"/>
  <c r="J20" i="14"/>
  <c r="H11" i="14"/>
  <c r="H10" i="17"/>
  <c r="G67" i="17"/>
  <c r="G109" i="17"/>
  <c r="H47" i="17"/>
  <c r="I47" i="17"/>
  <c r="J47" i="17"/>
  <c r="K47" i="17"/>
  <c r="L47" i="17"/>
  <c r="M47" i="17"/>
  <c r="N47" i="17"/>
  <c r="O47" i="17"/>
  <c r="P47" i="17"/>
  <c r="G17" i="17"/>
  <c r="G23" i="17"/>
  <c r="G26" i="14"/>
  <c r="B12" i="4"/>
  <c r="B13" i="4"/>
  <c r="I4" i="14"/>
  <c r="H7" i="14"/>
  <c r="H6" i="17"/>
  <c r="I4" i="17"/>
  <c r="M21" i="14"/>
  <c r="L20" i="17"/>
  <c r="J73" i="17"/>
  <c r="J116" i="17"/>
  <c r="J111" i="17"/>
  <c r="K74" i="17"/>
  <c r="K118" i="17"/>
  <c r="G66" i="17"/>
  <c r="H43" i="17"/>
  <c r="J4" i="13"/>
  <c r="I7" i="13"/>
  <c r="I50" i="13"/>
  <c r="F12" i="4"/>
  <c r="G15" i="13"/>
  <c r="H10" i="13"/>
  <c r="H51" i="13"/>
  <c r="H57" i="13"/>
  <c r="H59" i="13"/>
  <c r="H61" i="13"/>
  <c r="H66" i="13"/>
  <c r="H68" i="13"/>
  <c r="I11" i="13"/>
  <c r="L21" i="13"/>
  <c r="L57" i="17"/>
  <c r="K69" i="17"/>
  <c r="K19" i="17"/>
  <c r="H14" i="17"/>
  <c r="H15" i="17"/>
  <c r="H17" i="17"/>
  <c r="H23" i="17"/>
  <c r="I11" i="14"/>
  <c r="I10" i="17"/>
  <c r="H15" i="14"/>
  <c r="L13" i="14"/>
  <c r="L12" i="17"/>
  <c r="K20" i="14"/>
  <c r="H67" i="17"/>
  <c r="H109" i="17"/>
  <c r="N21" i="14"/>
  <c r="M20" i="17"/>
  <c r="I6" i="17"/>
  <c r="J4" i="17"/>
  <c r="J4" i="14"/>
  <c r="I7" i="14"/>
  <c r="G70" i="17"/>
  <c r="G108" i="17"/>
  <c r="K73" i="17"/>
  <c r="K116" i="17"/>
  <c r="K111" i="17"/>
  <c r="L74" i="17"/>
  <c r="L118" i="17"/>
  <c r="M21" i="13"/>
  <c r="M57" i="17"/>
  <c r="I51" i="13"/>
  <c r="I57" i="13"/>
  <c r="I59" i="13"/>
  <c r="I61" i="13"/>
  <c r="I66" i="13"/>
  <c r="I68" i="13"/>
  <c r="J11" i="13"/>
  <c r="H15" i="13"/>
  <c r="I10" i="13"/>
  <c r="G51" i="17"/>
  <c r="G52" i="17"/>
  <c r="G54" i="17"/>
  <c r="G60" i="17"/>
  <c r="G16" i="13"/>
  <c r="G18" i="13"/>
  <c r="G24" i="13"/>
  <c r="G26" i="13"/>
  <c r="K4" i="13"/>
  <c r="J7" i="13"/>
  <c r="J50" i="13"/>
  <c r="I43" i="17"/>
  <c r="H66" i="17"/>
  <c r="L69" i="17"/>
  <c r="L19" i="17"/>
  <c r="I14" i="17"/>
  <c r="I15" i="17"/>
  <c r="I17" i="17"/>
  <c r="I23" i="17"/>
  <c r="I67" i="17"/>
  <c r="I109" i="17"/>
  <c r="M13" i="14"/>
  <c r="M12" i="17"/>
  <c r="L20" i="14"/>
  <c r="H16" i="14"/>
  <c r="H18" i="14"/>
  <c r="H24" i="14"/>
  <c r="J11" i="14"/>
  <c r="J10" i="17"/>
  <c r="I15" i="14"/>
  <c r="I16" i="14"/>
  <c r="I18" i="14"/>
  <c r="I24" i="14"/>
  <c r="H51" i="17"/>
  <c r="H52" i="17"/>
  <c r="H54" i="17"/>
  <c r="H60" i="17"/>
  <c r="H26" i="14"/>
  <c r="K4" i="14"/>
  <c r="J7" i="14"/>
  <c r="J6" i="17"/>
  <c r="K4" i="17"/>
  <c r="O21" i="14"/>
  <c r="N20" i="17"/>
  <c r="G113" i="17"/>
  <c r="G71" i="17"/>
  <c r="H70" i="17"/>
  <c r="H113" i="17"/>
  <c r="H108" i="17"/>
  <c r="L73" i="17"/>
  <c r="L116" i="17"/>
  <c r="L111" i="17"/>
  <c r="M74" i="17"/>
  <c r="M118" i="17"/>
  <c r="I26" i="14"/>
  <c r="J43" i="17"/>
  <c r="I66" i="17"/>
  <c r="I51" i="17"/>
  <c r="L4" i="13"/>
  <c r="K7" i="13"/>
  <c r="K50" i="13"/>
  <c r="I15" i="13"/>
  <c r="J10" i="13"/>
  <c r="H16" i="13"/>
  <c r="H18" i="13"/>
  <c r="H24" i="13"/>
  <c r="H26" i="13"/>
  <c r="K11" i="13"/>
  <c r="J51" i="13"/>
  <c r="J57" i="13"/>
  <c r="J59" i="13"/>
  <c r="J61" i="13"/>
  <c r="J66" i="13"/>
  <c r="J68" i="13"/>
  <c r="N21" i="13"/>
  <c r="N57" i="17"/>
  <c r="M69" i="17"/>
  <c r="M19" i="17"/>
  <c r="J14" i="17"/>
  <c r="J15" i="17"/>
  <c r="J17" i="17"/>
  <c r="J23" i="17"/>
  <c r="J67" i="17"/>
  <c r="J109" i="17"/>
  <c r="K11" i="14"/>
  <c r="K10" i="17"/>
  <c r="J15" i="14"/>
  <c r="N13" i="14"/>
  <c r="N12" i="17"/>
  <c r="M20" i="14"/>
  <c r="H71" i="17"/>
  <c r="H72" i="17"/>
  <c r="P21" i="14"/>
  <c r="P20" i="17"/>
  <c r="O20" i="17"/>
  <c r="K6" i="17"/>
  <c r="L4" i="17"/>
  <c r="L4" i="14"/>
  <c r="K7" i="14"/>
  <c r="G72" i="17"/>
  <c r="G114" i="17"/>
  <c r="I70" i="17"/>
  <c r="I113" i="17"/>
  <c r="I108" i="17"/>
  <c r="M73" i="17"/>
  <c r="M116" i="17"/>
  <c r="M111" i="17"/>
  <c r="N74" i="17"/>
  <c r="N118" i="17"/>
  <c r="O21" i="13"/>
  <c r="O57" i="17"/>
  <c r="L11" i="13"/>
  <c r="K51" i="13"/>
  <c r="K57" i="13"/>
  <c r="K59" i="13"/>
  <c r="K61" i="13"/>
  <c r="K66" i="13"/>
  <c r="K68" i="13"/>
  <c r="J15" i="13"/>
  <c r="K10" i="13"/>
  <c r="I16" i="13"/>
  <c r="I18" i="13"/>
  <c r="I24" i="13"/>
  <c r="I26" i="13"/>
  <c r="M4" i="13"/>
  <c r="L7" i="13"/>
  <c r="L50" i="13"/>
  <c r="I52" i="17"/>
  <c r="I54" i="17"/>
  <c r="I60" i="17"/>
  <c r="K43" i="17"/>
  <c r="J66" i="17"/>
  <c r="J51" i="17"/>
  <c r="N69" i="17"/>
  <c r="N19" i="17"/>
  <c r="K14" i="17"/>
  <c r="K15" i="17"/>
  <c r="K17" i="17"/>
  <c r="K23" i="17"/>
  <c r="K67" i="17"/>
  <c r="K109" i="17"/>
  <c r="O13" i="14"/>
  <c r="O12" i="17"/>
  <c r="N20" i="14"/>
  <c r="J16" i="14"/>
  <c r="J18" i="14"/>
  <c r="J24" i="14"/>
  <c r="L11" i="14"/>
  <c r="L10" i="17"/>
  <c r="K15" i="14"/>
  <c r="K16" i="14"/>
  <c r="K18" i="14"/>
  <c r="K24" i="14"/>
  <c r="H114" i="17"/>
  <c r="I71" i="17"/>
  <c r="I114" i="17"/>
  <c r="M4" i="14"/>
  <c r="L7" i="14"/>
  <c r="L6" i="17"/>
  <c r="M4" i="17"/>
  <c r="G75" i="17"/>
  <c r="G79" i="17"/>
  <c r="G115" i="17"/>
  <c r="G119" i="17"/>
  <c r="G123" i="17"/>
  <c r="J70" i="17"/>
  <c r="J71" i="17"/>
  <c r="J108" i="17"/>
  <c r="N73" i="17"/>
  <c r="N116" i="17"/>
  <c r="N111" i="17"/>
  <c r="H75" i="17"/>
  <c r="H115" i="17"/>
  <c r="H119" i="17"/>
  <c r="O74" i="17"/>
  <c r="O118" i="17"/>
  <c r="J52" i="17"/>
  <c r="J54" i="17"/>
  <c r="J60" i="17"/>
  <c r="L43" i="17"/>
  <c r="K66" i="17"/>
  <c r="K51" i="17"/>
  <c r="N4" i="13"/>
  <c r="M7" i="13"/>
  <c r="M50" i="13"/>
  <c r="K15" i="13"/>
  <c r="L10" i="13"/>
  <c r="J16" i="13"/>
  <c r="J18" i="13"/>
  <c r="J24" i="13"/>
  <c r="J26" i="13"/>
  <c r="M11" i="13"/>
  <c r="L51" i="13"/>
  <c r="L57" i="13"/>
  <c r="L59" i="13"/>
  <c r="L61" i="13"/>
  <c r="L66" i="13"/>
  <c r="L68" i="13"/>
  <c r="P21" i="13"/>
  <c r="P57" i="17"/>
  <c r="O69" i="17"/>
  <c r="O19" i="17"/>
  <c r="L14" i="17"/>
  <c r="L15" i="17"/>
  <c r="L17" i="17"/>
  <c r="L23" i="17"/>
  <c r="L67" i="17"/>
  <c r="L109" i="17"/>
  <c r="M11" i="14"/>
  <c r="M10" i="17"/>
  <c r="L15" i="14"/>
  <c r="L16" i="14"/>
  <c r="L18" i="14"/>
  <c r="L24" i="14"/>
  <c r="J26" i="14"/>
  <c r="K26" i="14"/>
  <c r="P13" i="14"/>
  <c r="O20" i="14"/>
  <c r="L26" i="14"/>
  <c r="I72" i="17"/>
  <c r="I75" i="17"/>
  <c r="H79" i="17"/>
  <c r="H123" i="17"/>
  <c r="J113" i="17"/>
  <c r="M6" i="17"/>
  <c r="N4" i="17"/>
  <c r="N4" i="14"/>
  <c r="M7" i="14"/>
  <c r="K70" i="17"/>
  <c r="K71" i="17"/>
  <c r="K108" i="17"/>
  <c r="O73" i="17"/>
  <c r="O116" i="17"/>
  <c r="O111" i="17"/>
  <c r="J72" i="17"/>
  <c r="J114" i="17"/>
  <c r="P74" i="17"/>
  <c r="P118" i="17"/>
  <c r="P65" i="13"/>
  <c r="N11" i="13"/>
  <c r="M51" i="13"/>
  <c r="M57" i="13"/>
  <c r="M59" i="13"/>
  <c r="M61" i="13"/>
  <c r="M66" i="13"/>
  <c r="M68" i="13"/>
  <c r="L15" i="13"/>
  <c r="M10" i="13"/>
  <c r="K16" i="13"/>
  <c r="K18" i="13"/>
  <c r="K24" i="13"/>
  <c r="K26" i="13"/>
  <c r="O4" i="13"/>
  <c r="N7" i="13"/>
  <c r="N50" i="13"/>
  <c r="K52" i="17"/>
  <c r="K54" i="17"/>
  <c r="K60" i="17"/>
  <c r="M43" i="17"/>
  <c r="L66" i="17"/>
  <c r="L51" i="17"/>
  <c r="P20" i="14"/>
  <c r="P12" i="17"/>
  <c r="P69" i="17"/>
  <c r="P111" i="17"/>
  <c r="M14" i="17"/>
  <c r="M15" i="17"/>
  <c r="M17" i="17"/>
  <c r="M23" i="17"/>
  <c r="M67" i="17"/>
  <c r="M109" i="17"/>
  <c r="N11" i="14"/>
  <c r="N10" i="17"/>
  <c r="M15" i="14"/>
  <c r="M16" i="14"/>
  <c r="M18" i="14"/>
  <c r="M24" i="14"/>
  <c r="I115" i="17"/>
  <c r="I119" i="17"/>
  <c r="I123" i="17"/>
  <c r="I79" i="17"/>
  <c r="K113" i="17"/>
  <c r="O4" i="14"/>
  <c r="N7" i="14"/>
  <c r="N6" i="17"/>
  <c r="O4" i="17"/>
  <c r="L70" i="17"/>
  <c r="L71" i="17"/>
  <c r="L108" i="17"/>
  <c r="J75" i="17"/>
  <c r="J115" i="17"/>
  <c r="J119" i="17"/>
  <c r="K72" i="17"/>
  <c r="K114" i="17"/>
  <c r="L52" i="17"/>
  <c r="L54" i="17"/>
  <c r="L60" i="17"/>
  <c r="N43" i="17"/>
  <c r="M66" i="17"/>
  <c r="M51" i="17"/>
  <c r="P4" i="13"/>
  <c r="P7" i="13"/>
  <c r="P50" i="13"/>
  <c r="O7" i="13"/>
  <c r="O50" i="13"/>
  <c r="M15" i="13"/>
  <c r="N10" i="13"/>
  <c r="L16" i="13"/>
  <c r="L18" i="13"/>
  <c r="L24" i="13"/>
  <c r="L26" i="13"/>
  <c r="O11" i="13"/>
  <c r="N51" i="13"/>
  <c r="N57" i="13"/>
  <c r="N59" i="13"/>
  <c r="N61" i="13"/>
  <c r="N66" i="13"/>
  <c r="N68" i="13"/>
  <c r="P73" i="17"/>
  <c r="P116" i="17"/>
  <c r="P19" i="17"/>
  <c r="N14" i="17"/>
  <c r="N15" i="17"/>
  <c r="N17" i="17"/>
  <c r="N23" i="17"/>
  <c r="N67" i="17"/>
  <c r="N109" i="17"/>
  <c r="M26" i="14"/>
  <c r="O11" i="14"/>
  <c r="O10" i="17"/>
  <c r="N15" i="14"/>
  <c r="N16" i="14"/>
  <c r="N18" i="14"/>
  <c r="N24" i="14"/>
  <c r="J123" i="17"/>
  <c r="J79" i="17"/>
  <c r="L113" i="17"/>
  <c r="O6" i="17"/>
  <c r="P4" i="17"/>
  <c r="P6" i="17"/>
  <c r="P4" i="14"/>
  <c r="P7" i="14"/>
  <c r="O7" i="14"/>
  <c r="M70" i="17"/>
  <c r="M113" i="17"/>
  <c r="M108" i="17"/>
  <c r="K75" i="17"/>
  <c r="K115" i="17"/>
  <c r="K119" i="17"/>
  <c r="L72" i="17"/>
  <c r="L114" i="17"/>
  <c r="P11" i="13"/>
  <c r="O51" i="13"/>
  <c r="O57" i="13"/>
  <c r="O59" i="13"/>
  <c r="O61" i="13"/>
  <c r="O66" i="13"/>
  <c r="O68" i="13"/>
  <c r="N15" i="13"/>
  <c r="O10" i="13"/>
  <c r="M16" i="13"/>
  <c r="M18" i="13"/>
  <c r="M24" i="13"/>
  <c r="M26" i="13"/>
  <c r="M52" i="17"/>
  <c r="M54" i="17"/>
  <c r="M60" i="17"/>
  <c r="O43" i="17"/>
  <c r="P43" i="17"/>
  <c r="N66" i="17"/>
  <c r="N51" i="17"/>
  <c r="O14" i="17"/>
  <c r="O15" i="17"/>
  <c r="O17" i="17"/>
  <c r="O23" i="17"/>
  <c r="O67" i="17"/>
  <c r="O109" i="17"/>
  <c r="P11" i="14"/>
  <c r="O15" i="14"/>
  <c r="O16" i="14"/>
  <c r="O18" i="14"/>
  <c r="O24" i="14"/>
  <c r="N26" i="14"/>
  <c r="O26" i="14"/>
  <c r="K123" i="17"/>
  <c r="K79" i="17"/>
  <c r="M71" i="17"/>
  <c r="M72" i="17"/>
  <c r="N70" i="17"/>
  <c r="N71" i="17"/>
  <c r="N108" i="17"/>
  <c r="L75" i="17"/>
  <c r="L115" i="17"/>
  <c r="L119" i="17"/>
  <c r="N52" i="17"/>
  <c r="N54" i="17"/>
  <c r="N60" i="17"/>
  <c r="P66" i="17"/>
  <c r="P108" i="17"/>
  <c r="O66" i="17"/>
  <c r="O51" i="17"/>
  <c r="O15" i="13"/>
  <c r="P10" i="13"/>
  <c r="P15" i="13"/>
  <c r="N16" i="13"/>
  <c r="N18" i="13"/>
  <c r="N24" i="13"/>
  <c r="P51" i="13"/>
  <c r="P57" i="13"/>
  <c r="P59" i="13"/>
  <c r="P61" i="13"/>
  <c r="P66" i="13"/>
  <c r="P51" i="17"/>
  <c r="P15" i="14"/>
  <c r="P16" i="14"/>
  <c r="P18" i="14"/>
  <c r="P24" i="14"/>
  <c r="F27" i="14"/>
  <c r="P10" i="17"/>
  <c r="L123" i="17"/>
  <c r="L79" i="17"/>
  <c r="M114" i="17"/>
  <c r="N113" i="17"/>
  <c r="O70" i="17"/>
  <c r="O71" i="17"/>
  <c r="O108" i="17"/>
  <c r="M75" i="17"/>
  <c r="M115" i="17"/>
  <c r="M119" i="17"/>
  <c r="N72" i="17"/>
  <c r="N114" i="17"/>
  <c r="F28" i="14"/>
  <c r="P52" i="17"/>
  <c r="P54" i="17"/>
  <c r="P60" i="17"/>
  <c r="F69" i="13"/>
  <c r="F70" i="13"/>
  <c r="P68" i="13"/>
  <c r="N26" i="13"/>
  <c r="P16" i="13"/>
  <c r="P18" i="13"/>
  <c r="P24" i="13"/>
  <c r="O16" i="13"/>
  <c r="O18" i="13"/>
  <c r="O24" i="13"/>
  <c r="O52" i="17"/>
  <c r="O54" i="17"/>
  <c r="O60" i="17"/>
  <c r="P14" i="17"/>
  <c r="P15" i="17"/>
  <c r="P17" i="17"/>
  <c r="P23" i="17"/>
  <c r="P67" i="17"/>
  <c r="P26" i="14"/>
  <c r="O113" i="17"/>
  <c r="M79" i="17"/>
  <c r="M123" i="17"/>
  <c r="P70" i="17"/>
  <c r="P71" i="17"/>
  <c r="P109" i="17"/>
  <c r="N75" i="17"/>
  <c r="N115" i="17"/>
  <c r="N119" i="17"/>
  <c r="O72" i="17"/>
  <c r="O114" i="17"/>
  <c r="O26" i="13"/>
  <c r="P26" i="13"/>
  <c r="F28" i="13"/>
  <c r="F27" i="13"/>
  <c r="N79" i="17"/>
  <c r="N123" i="17"/>
  <c r="P113" i="17"/>
  <c r="O75" i="17"/>
  <c r="O115" i="17"/>
  <c r="O119" i="17"/>
  <c r="P72" i="17"/>
  <c r="P114" i="17"/>
  <c r="O79" i="17"/>
  <c r="O123" i="17"/>
  <c r="P75" i="17"/>
  <c r="F81" i="17"/>
  <c r="P115" i="17"/>
  <c r="P119" i="17"/>
  <c r="F80" i="17"/>
  <c r="P123" i="17"/>
  <c r="F124" i="17"/>
  <c r="E131" i="17"/>
  <c r="P79" i="17"/>
  <c r="F125" i="17"/>
</calcChain>
</file>

<file path=xl/sharedStrings.xml><?xml version="1.0" encoding="utf-8"?>
<sst xmlns="http://schemas.openxmlformats.org/spreadsheetml/2006/main" count="563" uniqueCount="239">
  <si>
    <t xml:space="preserve">Costos Fijos </t>
  </si>
  <si>
    <t>Mensual</t>
  </si>
  <si>
    <t>Mejora</t>
  </si>
  <si>
    <t>Electricidad</t>
  </si>
  <si>
    <t>Mano de obra</t>
  </si>
  <si>
    <t>Gastos Administrativos</t>
  </si>
  <si>
    <t>Costo unidad gallina</t>
  </si>
  <si>
    <t>Mantenimiento de instalaciones y equipo</t>
  </si>
  <si>
    <t>Gallina descarte</t>
  </si>
  <si>
    <t>Costo descarte</t>
  </si>
  <si>
    <t xml:space="preserve">Material de la cama </t>
  </si>
  <si>
    <t xml:space="preserve">Cargas sociales </t>
  </si>
  <si>
    <t xml:space="preserve">Uniformes </t>
  </si>
  <si>
    <t>Imprevistos 2%</t>
  </si>
  <si>
    <t xml:space="preserve">Total Costos Fijos </t>
  </si>
  <si>
    <t>CVU</t>
  </si>
  <si>
    <t xml:space="preserve">Costos Variables </t>
  </si>
  <si>
    <t xml:space="preserve">Insumos Veterinarios </t>
  </si>
  <si>
    <t>Alimento balanceado</t>
  </si>
  <si>
    <t>Transporte</t>
  </si>
  <si>
    <t>Total de Costos Variables</t>
  </si>
  <si>
    <t>Costo total</t>
  </si>
  <si>
    <t xml:space="preserve">Ingresos mensuales </t>
  </si>
  <si>
    <t>Raza</t>
  </si>
  <si>
    <t>kg de huevos producidos</t>
  </si>
  <si>
    <t>Precio kg/huevo</t>
  </si>
  <si>
    <t>Total</t>
  </si>
  <si>
    <t>ISA</t>
  </si>
  <si>
    <t>HY-LINE</t>
  </si>
  <si>
    <t>Total ingresos</t>
  </si>
  <si>
    <t>Utilidad neta operativa</t>
  </si>
  <si>
    <t>Alimentación por ciclo del proyecto actual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</si>
  <si>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</si>
  <si>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</si>
  <si>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</si>
  <si>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</si>
  <si>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</si>
  <si>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</si>
  <si>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</si>
  <si>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</si>
  <si>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</si>
  <si>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</si>
  <si>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</si>
  <si>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</si>
  <si>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>mes13</t>
  </si>
  <si>
    <t>mes14</t>
  </si>
  <si>
    <t>mes15</t>
  </si>
  <si>
    <t>mes16</t>
  </si>
  <si>
    <t>Semana</t>
  </si>
  <si>
    <t>ISA aves en produccion</t>
  </si>
  <si>
    <t>Costo de alimentacion ISA</t>
  </si>
  <si>
    <t>Hy-line aves en produccion</t>
  </si>
  <si>
    <t>Consumo kg/ave</t>
  </si>
  <si>
    <t>Costo de alimentacion Hyline</t>
  </si>
  <si>
    <t>Costo de alimentacion Total</t>
  </si>
  <si>
    <t>Costo alimentacion mensual</t>
  </si>
  <si>
    <t>Costo de kg de concentrado</t>
  </si>
  <si>
    <t>Alimentación por ciclo del proyecto mejora</t>
  </si>
  <si>
    <t>Mano de Obra</t>
  </si>
  <si>
    <t>Mano de Obra Mejora</t>
  </si>
  <si>
    <t>Colaborador</t>
  </si>
  <si>
    <t>Salario fijo mensual</t>
  </si>
  <si>
    <t>Horas x dia</t>
  </si>
  <si>
    <t>Dias</t>
  </si>
  <si>
    <t>Valor Hora</t>
  </si>
  <si>
    <t>Total mensual</t>
  </si>
  <si>
    <t>Cargas Sociales</t>
  </si>
  <si>
    <t>Peon 1</t>
  </si>
  <si>
    <t>Peon 2</t>
  </si>
  <si>
    <t>Peon 3</t>
  </si>
  <si>
    <t>Peon 4</t>
  </si>
  <si>
    <t>Peon 5</t>
  </si>
  <si>
    <t>Peon 6</t>
  </si>
  <si>
    <t>Peon 7</t>
  </si>
  <si>
    <t>Peon 8</t>
  </si>
  <si>
    <t>Peon 9</t>
  </si>
  <si>
    <t>Peon 10</t>
  </si>
  <si>
    <t>Peon 11</t>
  </si>
  <si>
    <t>Peon 12</t>
  </si>
  <si>
    <t>Peon 13</t>
  </si>
  <si>
    <t>Peon 14</t>
  </si>
  <si>
    <t>Total Anual</t>
  </si>
  <si>
    <t>Rubro</t>
  </si>
  <si>
    <t>Cantidad</t>
  </si>
  <si>
    <t>C/U</t>
  </si>
  <si>
    <t>Concentrado</t>
  </si>
  <si>
    <t>Fletes</t>
  </si>
  <si>
    <t xml:space="preserve">Compra de insumos </t>
  </si>
  <si>
    <t>Transporte propuesta de mejora</t>
  </si>
  <si>
    <t>RAZA</t>
  </si>
  <si>
    <t>Aves iniciales</t>
  </si>
  <si>
    <t>Mortalidad</t>
  </si>
  <si>
    <t>Final</t>
  </si>
  <si>
    <t>Peso de Huevo</t>
  </si>
  <si>
    <t>Cantidad de gallinas en postura/ día</t>
  </si>
  <si>
    <t>Alimento/ Consumo/ Animal</t>
  </si>
  <si>
    <t>Aves en producción</t>
  </si>
  <si>
    <t>Huevos producidos</t>
  </si>
  <si>
    <t xml:space="preserve">kg huevos </t>
  </si>
  <si>
    <t>Costo  alimento</t>
  </si>
  <si>
    <t>MENSUAL ALIMENTACION</t>
  </si>
  <si>
    <t>PROMEDIO</t>
  </si>
  <si>
    <t>Kg de huevo anual</t>
  </si>
  <si>
    <t>Propuesta de mejora</t>
  </si>
  <si>
    <t>huevo kg anual</t>
  </si>
  <si>
    <t xml:space="preserve">Consumo kg/ave </t>
  </si>
  <si>
    <t>calculo quin</t>
  </si>
  <si>
    <t>mensual</t>
  </si>
  <si>
    <t>Punto de equilibrio Actual del proyecto</t>
  </si>
  <si>
    <t>Punto de equilibrio Mejorado</t>
  </si>
  <si>
    <t>Producto</t>
  </si>
  <si>
    <t>Huevo de mesa</t>
  </si>
  <si>
    <t>Kg huevo vendido</t>
  </si>
  <si>
    <t>Ingresos</t>
  </si>
  <si>
    <t>Costos Fijos</t>
  </si>
  <si>
    <t>Costo variables totales</t>
  </si>
  <si>
    <t>P.E. Unidades</t>
  </si>
  <si>
    <t>P.E. Dinero</t>
  </si>
  <si>
    <t>Inversion del proyecto actual</t>
  </si>
  <si>
    <t>Modelo de rentabilidad</t>
  </si>
  <si>
    <t>Periodo</t>
  </si>
  <si>
    <t xml:space="preserve">Supuestos </t>
  </si>
  <si>
    <t xml:space="preserve">Compra de aves </t>
  </si>
  <si>
    <t xml:space="preserve">Ingresos </t>
  </si>
  <si>
    <t>Huevos kg</t>
  </si>
  <si>
    <t>Total de inversion</t>
  </si>
  <si>
    <t>Precio del kg</t>
  </si>
  <si>
    <t>Ingreso totales</t>
  </si>
  <si>
    <t>Depreciacion</t>
  </si>
  <si>
    <t>Ciclo</t>
  </si>
  <si>
    <t xml:space="preserve">Egresos </t>
  </si>
  <si>
    <t>valor residual de la inversion</t>
  </si>
  <si>
    <t>Costo Variable Unitario (CVU)</t>
  </si>
  <si>
    <t>Costo Variable Total (cvu x cantidad)</t>
  </si>
  <si>
    <t xml:space="preserve">Depreciacion </t>
  </si>
  <si>
    <t xml:space="preserve">Flujo neto antes de impuestos </t>
  </si>
  <si>
    <t xml:space="preserve">Impuesto de renta </t>
  </si>
  <si>
    <t xml:space="preserve">Flujo neto despues de impuestos </t>
  </si>
  <si>
    <t>Valor residual</t>
  </si>
  <si>
    <t>Inversion inicial</t>
  </si>
  <si>
    <t xml:space="preserve">Flujo netos de efectivo </t>
  </si>
  <si>
    <t xml:space="preserve">Periodo de recuperacion </t>
  </si>
  <si>
    <t>Valor Actual Neto (VAN)</t>
  </si>
  <si>
    <t>TIR</t>
  </si>
  <si>
    <t xml:space="preserve">Rentabilidad del emprendedor </t>
  </si>
  <si>
    <t>%</t>
  </si>
  <si>
    <t>C</t>
  </si>
  <si>
    <t>Financiamirnto del Banco</t>
  </si>
  <si>
    <t>Aporte personal</t>
  </si>
  <si>
    <t xml:space="preserve">Total de la inversion </t>
  </si>
  <si>
    <t xml:space="preserve">Calculo del servicio de deuda por el prestamo </t>
  </si>
  <si>
    <t xml:space="preserve">Monto del prestamo </t>
  </si>
  <si>
    <t xml:space="preserve">Tasa de interes </t>
  </si>
  <si>
    <t>Plazo</t>
  </si>
  <si>
    <t>Pago al banco</t>
  </si>
  <si>
    <t xml:space="preserve">Tabla de amortizacion del prestamo </t>
  </si>
  <si>
    <t>Capital inicial</t>
  </si>
  <si>
    <t xml:space="preserve">Pago al banco </t>
  </si>
  <si>
    <t xml:space="preserve">Pago de intereses </t>
  </si>
  <si>
    <t>Amortizacion</t>
  </si>
  <si>
    <t>Capital final</t>
  </si>
  <si>
    <t>Calculo de los flujos de efectivo con financiamiento (flujo de efectivo del emprendedor)</t>
  </si>
  <si>
    <t xml:space="preserve">Ingresos totales </t>
  </si>
  <si>
    <t>Costo variable total</t>
  </si>
  <si>
    <t>Intereses</t>
  </si>
  <si>
    <t>Impuestos</t>
  </si>
  <si>
    <t>Flujo neto despues de impuestos</t>
  </si>
  <si>
    <t>Valor residual de la inversion</t>
  </si>
  <si>
    <t xml:space="preserve">FNE con financiamiento </t>
  </si>
  <si>
    <t>Periodo de recuperacion</t>
  </si>
  <si>
    <t>VAN</t>
  </si>
  <si>
    <t xml:space="preserve">Proyecto de mejora </t>
  </si>
  <si>
    <t xml:space="preserve">Inversion </t>
  </si>
  <si>
    <t xml:space="preserve">Ventilacion </t>
  </si>
  <si>
    <t>Insumos Bioseguridad</t>
  </si>
  <si>
    <t>Inversion del proyecto mejora</t>
  </si>
  <si>
    <t>Ventiladores</t>
  </si>
  <si>
    <t>Huevo kg</t>
  </si>
  <si>
    <t>Total Inversion</t>
  </si>
  <si>
    <t>10 Ciclos</t>
  </si>
  <si>
    <t>TIR bueno alrededor del 35%</t>
  </si>
  <si>
    <t>Financiamiento del Banco</t>
  </si>
  <si>
    <t xml:space="preserve">Calculo del servicio de deud por el prestamo </t>
  </si>
  <si>
    <t>SITUACION ACTUAL</t>
  </si>
  <si>
    <t xml:space="preserve">Detalles de la inversión para la mejora </t>
  </si>
  <si>
    <t xml:space="preserve">Valor residual de las aves </t>
  </si>
  <si>
    <t>Situación con el impacto de la mejora</t>
  </si>
  <si>
    <t>Flujos incrementales producto de la inversión</t>
  </si>
  <si>
    <t> </t>
  </si>
  <si>
    <t>Ingresos totales marginales</t>
  </si>
  <si>
    <t>Costos variables totales marginales</t>
  </si>
  <si>
    <t>Costos fijos marginales</t>
  </si>
  <si>
    <t>Depreciación marginal</t>
  </si>
  <si>
    <t>FLUJO MARGINAL ANTES DE IMPUESTOS</t>
  </si>
  <si>
    <t xml:space="preserve">Impuesto sobre la renta </t>
  </si>
  <si>
    <t>FLUJO MARGINAL DESPUES DE IMPUESTOS</t>
  </si>
  <si>
    <t xml:space="preserve">Depreciación marginal </t>
  </si>
  <si>
    <t>Valor residual ( Gallinas descarte por ciclo)</t>
  </si>
  <si>
    <t>FLUJOS NETOS DE EFECTIVO MARGINALES</t>
  </si>
  <si>
    <t>Indicadores de rentabilidad del proyecto sin financiamiento</t>
  </si>
  <si>
    <t>Periodo de recuperación</t>
  </si>
  <si>
    <t>Valor actual neto</t>
  </si>
  <si>
    <t>Calculo de la rentabilidad del emprendedor</t>
  </si>
  <si>
    <t>Supuesto de la estructura de financiamiento</t>
  </si>
  <si>
    <t>Cuanto me financia el banco</t>
  </si>
  <si>
    <t>Cuanto vamos a aportar</t>
  </si>
  <si>
    <t>Total inversión</t>
  </si>
  <si>
    <t>Calculo del servicio de deuda por el prestamo</t>
  </si>
  <si>
    <t>Monto del prestamo</t>
  </si>
  <si>
    <t>Tasa interes</t>
  </si>
  <si>
    <t>Tabla de amortización</t>
  </si>
  <si>
    <t>Pago intereses</t>
  </si>
  <si>
    <t>Amortización</t>
  </si>
  <si>
    <t>Calculo de los flujos de efectivo con financiamiento</t>
  </si>
  <si>
    <t>Flujo marginal antes de impuestos</t>
  </si>
  <si>
    <t>Flujo marginal despues de impuestos</t>
  </si>
  <si>
    <t>FNE marginal con financiamiento</t>
  </si>
  <si>
    <t>Indicadores de rentabilidad de los recursos propios</t>
  </si>
  <si>
    <t>Periodo recuperación</t>
  </si>
  <si>
    <t>Analisis Multidimensional de sensibilidad</t>
  </si>
  <si>
    <t>Aumento de produccion por disminicion de Mortalidad</t>
  </si>
  <si>
    <t>Cambios % en la</t>
  </si>
  <si>
    <t>proporcion de</t>
  </si>
  <si>
    <t>financiamiento</t>
  </si>
  <si>
    <t>Proyecto Actual Huevos de mesa</t>
  </si>
  <si>
    <t>Proyecto de Mejora Huevos de mesa</t>
  </si>
  <si>
    <t>Decisiones</t>
  </si>
  <si>
    <t>Favorable</t>
  </si>
  <si>
    <t>Desfavorable</t>
  </si>
  <si>
    <t>Reduccion de mortalidad</t>
  </si>
  <si>
    <t>Aumento de producción</t>
  </si>
  <si>
    <t>Disminuir costos variables</t>
  </si>
  <si>
    <t>Decisión</t>
  </si>
  <si>
    <t>Estado de la naturaleza</t>
  </si>
  <si>
    <t>Realizar inversión</t>
  </si>
  <si>
    <t>VME</t>
  </si>
  <si>
    <t>Propuesta de mejora Granja Avicola La Primavera</t>
  </si>
  <si>
    <t>No realizar inversión</t>
  </si>
  <si>
    <t>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</si>
</sst>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[$$-540A]* #,##0.00_);_([$$-540A]* \(#,##0.00\);_([$$-540A]* &quot;-&quot;??_);_(@_)"/>
    <numFmt numFmtId="165" formatCode="_-[$₡-140A]* #,##0.00_-;\-[$₡-140A]* #,##0.00_-;_-[$₡-140A]* &quot;-&quot;??_-;_-@_-"/>
    <numFmt numFmtId="166" formatCode="0.0%"/>
    <numFmt numFmtId="167" formatCode="[$₡-140A]#,##0.00"/>
    <numFmt numFmtId="168" formatCode="0.0"/>
    <numFmt numFmtId="169" formatCode="[$₡-140A]#,##0.0000"/>
    <numFmt numFmtId="170" formatCode="[$₡-140A]#,##0"/>
    <numFmt numFmtId="171" formatCode="_-[$₡-140A]* #,##0_-;\-[$₡-140A]* #,##0_-;_-[$₡-140A]* &quot;-&quot;??_-;_-@_-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242424"/>
      <name val="Aptos Narrow"/>
      <charset val="1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2"/>
      <name val="Arial"/>
      <family val="2"/>
    </font>
    <font>
      <sz val="11"/>
      <color rgb="FFFF0000"/>
      <name val="Calibri"/>
      <family val="2"/>
    </font>
    <font>
      <sz val="11"/>
      <color rgb="FF000000"/>
      <name val="Calibri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/>
      <diagonal/>
    </border>
    <border>
      <left/>
      <right/>
      <top/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505050"/>
      </top>
      <bottom/>
      <diagonal/>
    </border>
    <border>
      <left/>
      <right style="thin">
        <color rgb="FF000000"/>
      </right>
      <top/>
      <bottom style="thin">
        <color rgb="FF50505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5" fontId="0" fillId="0" borderId="1" xfId="0" applyNumberFormat="1" applyBorder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/>
    <xf numFmtId="165" fontId="0" fillId="0" borderId="3" xfId="0" applyNumberFormat="1" applyBorder="1"/>
    <xf numFmtId="165" fontId="0" fillId="0" borderId="2" xfId="0" applyNumberFormat="1" applyBorder="1"/>
    <xf numFmtId="0" fontId="0" fillId="0" borderId="4" xfId="0" applyBorder="1"/>
    <xf numFmtId="165" fontId="0" fillId="0" borderId="4" xfId="0" applyNumberFormat="1" applyBorder="1"/>
    <xf numFmtId="0" fontId="1" fillId="0" borderId="8" xfId="0" applyFont="1" applyBorder="1"/>
    <xf numFmtId="0" fontId="2" fillId="0" borderId="1" xfId="0" applyFont="1" applyBorder="1"/>
    <xf numFmtId="9" fontId="1" fillId="0" borderId="0" xfId="1" applyFont="1"/>
    <xf numFmtId="10" fontId="0" fillId="0" borderId="0" xfId="1" applyNumberFormat="1" applyFont="1"/>
    <xf numFmtId="1" fontId="0" fillId="0" borderId="0" xfId="0" applyNumberFormat="1"/>
    <xf numFmtId="2" fontId="1" fillId="0" borderId="0" xfId="0" applyNumberFormat="1" applyFont="1"/>
    <xf numFmtId="166" fontId="1" fillId="0" borderId="0" xfId="1" applyNumberFormat="1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7" xfId="0" applyNumberFormat="1" applyBorder="1"/>
    <xf numFmtId="165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7" fontId="1" fillId="0" borderId="1" xfId="0" applyNumberFormat="1" applyFont="1" applyBorder="1"/>
    <xf numFmtId="0" fontId="1" fillId="0" borderId="3" xfId="0" applyFont="1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" xfId="0" applyNumberFormat="1" applyBorder="1"/>
    <xf numFmtId="0" fontId="1" fillId="0" borderId="2" xfId="0" applyFont="1" applyBorder="1"/>
    <xf numFmtId="165" fontId="1" fillId="0" borderId="2" xfId="0" applyNumberFormat="1" applyFont="1" applyBorder="1"/>
    <xf numFmtId="167" fontId="0" fillId="0" borderId="0" xfId="0" applyNumberFormat="1"/>
    <xf numFmtId="0" fontId="5" fillId="0" borderId="0" xfId="0" applyFont="1"/>
    <xf numFmtId="0" fontId="1" fillId="2" borderId="0" xfId="0" applyFont="1" applyFill="1"/>
    <xf numFmtId="0" fontId="0" fillId="2" borderId="0" xfId="0" applyFill="1"/>
    <xf numFmtId="167" fontId="0" fillId="2" borderId="0" xfId="0" applyNumberFormat="1" applyFill="1"/>
    <xf numFmtId="167" fontId="0" fillId="0" borderId="3" xfId="0" applyNumberFormat="1" applyBorder="1"/>
    <xf numFmtId="167" fontId="1" fillId="0" borderId="11" xfId="0" applyNumberFormat="1" applyFont="1" applyBorder="1"/>
    <xf numFmtId="167" fontId="0" fillId="0" borderId="2" xfId="0" applyNumberFormat="1" applyBorder="1"/>
    <xf numFmtId="167" fontId="1" fillId="0" borderId="2" xfId="0" applyNumberFormat="1" applyFont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0" fontId="0" fillId="0" borderId="0" xfId="0" applyAlignment="1">
      <alignment horizontal="right"/>
    </xf>
    <xf numFmtId="0" fontId="0" fillId="5" borderId="0" xfId="0" applyFill="1"/>
    <xf numFmtId="2" fontId="0" fillId="5" borderId="0" xfId="0" applyNumberFormat="1" applyFill="1"/>
    <xf numFmtId="0" fontId="0" fillId="6" borderId="0" xfId="0" applyFill="1"/>
    <xf numFmtId="0" fontId="1" fillId="4" borderId="3" xfId="0" applyFont="1" applyFill="1" applyBorder="1"/>
    <xf numFmtId="0" fontId="1" fillId="4" borderId="10" xfId="0" applyFont="1" applyFill="1" applyBorder="1"/>
    <xf numFmtId="0" fontId="1" fillId="4" borderId="7" xfId="0" applyFont="1" applyFill="1" applyBorder="1"/>
    <xf numFmtId="0" fontId="1" fillId="0" borderId="10" xfId="0" applyFont="1" applyBorder="1"/>
    <xf numFmtId="0" fontId="0" fillId="0" borderId="10" xfId="0" applyBorder="1"/>
    <xf numFmtId="0" fontId="1" fillId="0" borderId="0" xfId="0" applyFont="1" applyAlignment="1">
      <alignment vertical="center"/>
    </xf>
    <xf numFmtId="0" fontId="1" fillId="0" borderId="7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4" xfId="0" applyFont="1" applyBorder="1"/>
    <xf numFmtId="0" fontId="6" fillId="0" borderId="0" xfId="0" applyFont="1"/>
    <xf numFmtId="0" fontId="5" fillId="0" borderId="16" xfId="0" applyFont="1" applyBorder="1"/>
    <xf numFmtId="0" fontId="1" fillId="0" borderId="0" xfId="0" applyFont="1" applyAlignment="1">
      <alignment horizontal="left" vertical="center"/>
    </xf>
    <xf numFmtId="0" fontId="2" fillId="0" borderId="3" xfId="0" applyFont="1" applyBorder="1"/>
    <xf numFmtId="0" fontId="0" fillId="0" borderId="3" xfId="0" applyBorder="1"/>
    <xf numFmtId="9" fontId="0" fillId="0" borderId="1" xfId="0" applyNumberFormat="1" applyBorder="1"/>
    <xf numFmtId="0" fontId="0" fillId="0" borderId="7" xfId="0" applyBorder="1"/>
    <xf numFmtId="0" fontId="0" fillId="0" borderId="12" xfId="0" applyBorder="1"/>
    <xf numFmtId="0" fontId="2" fillId="0" borderId="15" xfId="0" applyFont="1" applyBorder="1"/>
    <xf numFmtId="0" fontId="0" fillId="0" borderId="15" xfId="0" applyBorder="1"/>
    <xf numFmtId="0" fontId="0" fillId="0" borderId="9" xfId="0" applyBorder="1"/>
    <xf numFmtId="0" fontId="0" fillId="0" borderId="14" xfId="0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1" fillId="0" borderId="13" xfId="0" applyFont="1" applyBorder="1"/>
    <xf numFmtId="165" fontId="1" fillId="0" borderId="0" xfId="0" applyNumberFormat="1" applyFont="1" applyAlignment="1">
      <alignment horizontal="center"/>
    </xf>
    <xf numFmtId="165" fontId="1" fillId="0" borderId="17" xfId="0" applyNumberFormat="1" applyFont="1" applyBorder="1"/>
    <xf numFmtId="0" fontId="0" fillId="0" borderId="18" xfId="0" applyBorder="1"/>
    <xf numFmtId="9" fontId="0" fillId="7" borderId="1" xfId="0" applyNumberFormat="1" applyFill="1" applyBorder="1"/>
    <xf numFmtId="0" fontId="2" fillId="0" borderId="2" xfId="0" applyFont="1" applyBorder="1"/>
    <xf numFmtId="1" fontId="0" fillId="0" borderId="4" xfId="0" applyNumberFormat="1" applyBorder="1"/>
    <xf numFmtId="0" fontId="0" fillId="0" borderId="19" xfId="0" applyBorder="1"/>
    <xf numFmtId="165" fontId="0" fillId="0" borderId="18" xfId="0" applyNumberFormat="1" applyBorder="1"/>
    <xf numFmtId="10" fontId="0" fillId="0" borderId="1" xfId="0" applyNumberFormat="1" applyBorder="1"/>
    <xf numFmtId="2" fontId="0" fillId="6" borderId="0" xfId="0" applyNumberFormat="1" applyFill="1"/>
    <xf numFmtId="169" fontId="0" fillId="2" borderId="0" xfId="0" applyNumberFormat="1" applyFill="1"/>
    <xf numFmtId="0" fontId="1" fillId="0" borderId="0" xfId="0" applyFont="1" applyAlignment="1">
      <alignment horizontal="right"/>
    </xf>
    <xf numFmtId="0" fontId="7" fillId="0" borderId="0" xfId="0" applyFont="1"/>
    <xf numFmtId="168" fontId="0" fillId="0" borderId="0" xfId="0" applyNumberFormat="1"/>
    <xf numFmtId="165" fontId="8" fillId="0" borderId="1" xfId="0" applyNumberFormat="1" applyFont="1" applyBorder="1"/>
    <xf numFmtId="165" fontId="9" fillId="0" borderId="1" xfId="0" applyNumberFormat="1" applyFont="1" applyBorder="1"/>
    <xf numFmtId="167" fontId="0" fillId="0" borderId="7" xfId="0" applyNumberFormat="1" applyBorder="1"/>
    <xf numFmtId="10" fontId="0" fillId="7" borderId="1" xfId="0" applyNumberFormat="1" applyFill="1" applyBorder="1"/>
    <xf numFmtId="167" fontId="0" fillId="0" borderId="18" xfId="0" applyNumberFormat="1" applyBorder="1"/>
    <xf numFmtId="167" fontId="8" fillId="0" borderId="1" xfId="0" applyNumberFormat="1" applyFont="1" applyBorder="1"/>
    <xf numFmtId="0" fontId="8" fillId="0" borderId="0" xfId="0" applyFont="1"/>
    <xf numFmtId="0" fontId="0" fillId="0" borderId="20" xfId="0" applyBorder="1"/>
    <xf numFmtId="0" fontId="0" fillId="0" borderId="21" xfId="0" applyBorder="1"/>
    <xf numFmtId="9" fontId="0" fillId="0" borderId="3" xfId="0" applyNumberFormat="1" applyBorder="1"/>
    <xf numFmtId="165" fontId="0" fillId="0" borderId="15" xfId="0" applyNumberFormat="1" applyBorder="1"/>
    <xf numFmtId="165" fontId="0" fillId="0" borderId="10" xfId="0" applyNumberFormat="1" applyBorder="1"/>
    <xf numFmtId="165" fontId="0" fillId="0" borderId="9" xfId="0" applyNumberFormat="1" applyBorder="1"/>
    <xf numFmtId="165" fontId="0" fillId="0" borderId="22" xfId="0" applyNumberFormat="1" applyBorder="1"/>
    <xf numFmtId="165" fontId="0" fillId="0" borderId="17" xfId="0" applyNumberFormat="1" applyBorder="1"/>
    <xf numFmtId="165" fontId="0" fillId="0" borderId="23" xfId="0" applyNumberFormat="1" applyBorder="1"/>
    <xf numFmtId="167" fontId="0" fillId="0" borderId="10" xfId="0" applyNumberFormat="1" applyBorder="1"/>
    <xf numFmtId="9" fontId="0" fillId="0" borderId="0" xfId="0" applyNumberFormat="1"/>
    <xf numFmtId="0" fontId="0" fillId="0" borderId="24" xfId="0" applyBorder="1"/>
    <xf numFmtId="167" fontId="0" fillId="0" borderId="17" xfId="0" applyNumberFormat="1" applyBorder="1"/>
    <xf numFmtId="167" fontId="0" fillId="0" borderId="23" xfId="0" applyNumberFormat="1" applyBorder="1"/>
    <xf numFmtId="0" fontId="0" fillId="0" borderId="25" xfId="0" applyBorder="1"/>
    <xf numFmtId="167" fontId="0" fillId="0" borderId="21" xfId="0" applyNumberFormat="1" applyBorder="1"/>
    <xf numFmtId="167" fontId="1" fillId="0" borderId="10" xfId="0" applyNumberFormat="1" applyFont="1" applyBorder="1"/>
    <xf numFmtId="167" fontId="1" fillId="0" borderId="17" xfId="0" applyNumberFormat="1" applyFont="1" applyBorder="1"/>
    <xf numFmtId="165" fontId="1" fillId="0" borderId="10" xfId="0" applyNumberFormat="1" applyFont="1" applyBorder="1"/>
    <xf numFmtId="0" fontId="1" fillId="0" borderId="9" xfId="0" applyFont="1" applyBorder="1"/>
    <xf numFmtId="165" fontId="10" fillId="0" borderId="9" xfId="0" applyNumberFormat="1" applyFont="1" applyBorder="1"/>
    <xf numFmtId="167" fontId="1" fillId="0" borderId="9" xfId="0" applyNumberFormat="1" applyFont="1" applyBorder="1"/>
    <xf numFmtId="167" fontId="1" fillId="0" borderId="23" xfId="0" applyNumberFormat="1" applyFont="1" applyBorder="1"/>
    <xf numFmtId="10" fontId="0" fillId="7" borderId="4" xfId="0" applyNumberForma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0" fontId="1" fillId="8" borderId="0" xfId="0" applyFont="1" applyFill="1"/>
    <xf numFmtId="165" fontId="8" fillId="0" borderId="0" xfId="0" applyNumberFormat="1" applyFont="1"/>
    <xf numFmtId="165" fontId="9" fillId="0" borderId="0" xfId="0" applyNumberFormat="1" applyFont="1"/>
    <xf numFmtId="0" fontId="12" fillId="0" borderId="0" xfId="0" applyFont="1"/>
    <xf numFmtId="0" fontId="0" fillId="8" borderId="0" xfId="0" applyFill="1"/>
    <xf numFmtId="0" fontId="14" fillId="11" borderId="0" xfId="0" applyFont="1" applyFill="1"/>
    <xf numFmtId="9" fontId="11" fillId="0" borderId="0" xfId="0" applyNumberFormat="1" applyFont="1"/>
    <xf numFmtId="0" fontId="0" fillId="0" borderId="26" xfId="0" applyBorder="1"/>
    <xf numFmtId="0" fontId="0" fillId="0" borderId="27" xfId="0" applyBorder="1"/>
    <xf numFmtId="0" fontId="11" fillId="0" borderId="28" xfId="0" applyFont="1" applyBorder="1"/>
    <xf numFmtId="0" fontId="0" fillId="0" borderId="29" xfId="0" applyBorder="1"/>
    <xf numFmtId="0" fontId="0" fillId="0" borderId="16" xfId="0" applyBorder="1"/>
    <xf numFmtId="0" fontId="0" fillId="0" borderId="30" xfId="0" applyBorder="1"/>
    <xf numFmtId="0" fontId="11" fillId="0" borderId="29" xfId="0" applyFont="1" applyBorder="1"/>
    <xf numFmtId="0" fontId="11" fillId="0" borderId="16" xfId="0" applyFont="1" applyBorder="1"/>
    <xf numFmtId="9" fontId="11" fillId="0" borderId="16" xfId="0" applyNumberFormat="1" applyFont="1" applyBorder="1"/>
    <xf numFmtId="0" fontId="14" fillId="11" borderId="28" xfId="0" applyFont="1" applyFill="1" applyBorder="1"/>
    <xf numFmtId="165" fontId="9" fillId="0" borderId="18" xfId="0" applyNumberFormat="1" applyFont="1" applyBorder="1"/>
    <xf numFmtId="0" fontId="9" fillId="0" borderId="0" xfId="0" applyFont="1"/>
    <xf numFmtId="0" fontId="11" fillId="0" borderId="0" xfId="0" applyFont="1" applyAlignment="1">
      <alignment horizontal="right"/>
    </xf>
    <xf numFmtId="0" fontId="11" fillId="0" borderId="24" xfId="0" applyFont="1" applyBorder="1" applyAlignment="1">
      <alignment horizontal="right"/>
    </xf>
    <xf numFmtId="165" fontId="9" fillId="0" borderId="2" xfId="0" applyNumberFormat="1" applyFont="1" applyBorder="1"/>
    <xf numFmtId="9" fontId="0" fillId="13" borderId="9" xfId="0" applyNumberFormat="1" applyFill="1" applyBorder="1"/>
    <xf numFmtId="167" fontId="11" fillId="0" borderId="30" xfId="0" applyNumberFormat="1" applyFont="1" applyBorder="1"/>
    <xf numFmtId="167" fontId="16" fillId="0" borderId="24" xfId="0" applyNumberFormat="1" applyFont="1" applyBorder="1"/>
    <xf numFmtId="0" fontId="11" fillId="7" borderId="28" xfId="0" applyFont="1" applyFill="1" applyBorder="1"/>
    <xf numFmtId="0" fontId="11" fillId="7" borderId="0" xfId="0" applyFont="1" applyFill="1"/>
    <xf numFmtId="0" fontId="11" fillId="14" borderId="28" xfId="0" applyFont="1" applyFill="1" applyBorder="1"/>
    <xf numFmtId="0" fontId="11" fillId="14" borderId="0" xfId="0" applyFont="1" applyFill="1"/>
    <xf numFmtId="167" fontId="11" fillId="0" borderId="0" xfId="0" applyNumberFormat="1" applyFont="1"/>
    <xf numFmtId="10" fontId="11" fillId="0" borderId="0" xfId="0" applyNumberFormat="1" applyFont="1"/>
    <xf numFmtId="167" fontId="15" fillId="7" borderId="0" xfId="0" applyNumberFormat="1" applyFont="1" applyFill="1"/>
    <xf numFmtId="0" fontId="11" fillId="0" borderId="31" xfId="0" applyFont="1" applyBorder="1"/>
    <xf numFmtId="167" fontId="17" fillId="0" borderId="16" xfId="0" applyNumberFormat="1" applyFont="1" applyBorder="1"/>
    <xf numFmtId="167" fontId="11" fillId="0" borderId="0" xfId="0" applyNumberFormat="1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13" fillId="0" borderId="0" xfId="0" applyFont="1"/>
    <xf numFmtId="0" fontId="1" fillId="16" borderId="0" xfId="0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0" fillId="14" borderId="0" xfId="0" applyNumberFormat="1" applyFill="1" applyAlignment="1">
      <alignment horizontal="center" vertical="center"/>
    </xf>
    <xf numFmtId="167" fontId="0" fillId="7" borderId="0" xfId="0" applyNumberFormat="1" applyFill="1" applyAlignment="1">
      <alignment horizontal="center" vertical="center"/>
    </xf>
    <xf numFmtId="167" fontId="0" fillId="15" borderId="0" xfId="0" applyNumberForma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167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wrapText="1"/>
    </xf>
    <xf numFmtId="170" fontId="11" fillId="7" borderId="0" xfId="0" applyNumberFormat="1" applyFont="1" applyFill="1" applyAlignment="1">
      <alignment horizontal="center" wrapText="1"/>
    </xf>
    <xf numFmtId="167" fontId="11" fillId="0" borderId="3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7" fontId="11" fillId="0" borderId="0" xfId="0" applyNumberFormat="1" applyFont="1" applyAlignment="1">
      <alignment horizontal="center" wrapText="1"/>
    </xf>
    <xf numFmtId="167" fontId="15" fillId="0" borderId="0" xfId="0" applyNumberFormat="1" applyFont="1"/>
    <xf numFmtId="0" fontId="0" fillId="0" borderId="3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9" fontId="0" fillId="13" borderId="0" xfId="0" applyNumberFormat="1" applyFill="1"/>
    <xf numFmtId="9" fontId="0" fillId="17" borderId="0" xfId="0" applyNumberFormat="1" applyFill="1"/>
    <xf numFmtId="9" fontId="1" fillId="17" borderId="16" xfId="0" applyNumberFormat="1" applyFont="1" applyFill="1" applyBorder="1"/>
    <xf numFmtId="9" fontId="13" fillId="17" borderId="16" xfId="0" applyNumberFormat="1" applyFont="1" applyFill="1" applyBorder="1"/>
    <xf numFmtId="171" fontId="0" fillId="4" borderId="1" xfId="0" applyNumberFormat="1" applyFill="1" applyBorder="1" applyAlignment="1">
      <alignment horizontal="center" wrapText="1"/>
    </xf>
    <xf numFmtId="171" fontId="0" fillId="0" borderId="33" xfId="0" applyNumberFormat="1" applyBorder="1"/>
    <xf numFmtId="171" fontId="0" fillId="0" borderId="21" xfId="0" applyNumberFormat="1" applyBorder="1" applyAlignment="1">
      <alignment horizontal="center"/>
    </xf>
    <xf numFmtId="171" fontId="0" fillId="0" borderId="18" xfId="0" applyNumberFormat="1" applyBorder="1" applyAlignment="1">
      <alignment horizontal="center"/>
    </xf>
    <xf numFmtId="171" fontId="0" fillId="0" borderId="0" xfId="0" applyNumberFormat="1"/>
    <xf numFmtId="171" fontId="0" fillId="0" borderId="0" xfId="0" applyNumberFormat="1" applyAlignment="1">
      <alignment horizontal="left"/>
    </xf>
    <xf numFmtId="171" fontId="0" fillId="0" borderId="0" xfId="0" applyNumberFormat="1" applyAlignment="1">
      <alignment horizontal="center"/>
    </xf>
    <xf numFmtId="171" fontId="0" fillId="4" borderId="33" xfId="0" applyNumberForma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0" applyFont="1"/>
    <xf numFmtId="0" fontId="12" fillId="9" borderId="0" xfId="0" applyFont="1" applyFill="1"/>
    <xf numFmtId="0" fontId="12" fillId="0" borderId="0" xfId="0" applyFont="1"/>
    <xf numFmtId="0" fontId="11" fillId="0" borderId="0" xfId="0" applyFont="1"/>
    <xf numFmtId="0" fontId="11" fillId="0" borderId="28" xfId="0" applyFont="1" applyBorder="1"/>
    <xf numFmtId="0" fontId="12" fillId="10" borderId="25" xfId="0" applyFont="1" applyFill="1" applyBorder="1"/>
    <xf numFmtId="0" fontId="12" fillId="10" borderId="26" xfId="0" applyFont="1" applyFill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12" borderId="25" xfId="0" applyFont="1" applyFill="1" applyBorder="1"/>
    <xf numFmtId="0" fontId="13" fillId="12" borderId="26" xfId="0" applyFont="1" applyFill="1" applyBorder="1"/>
    <xf numFmtId="0" fontId="13" fillId="0" borderId="28" xfId="0" applyFont="1" applyBorder="1"/>
    <xf numFmtId="0" fontId="13" fillId="0" borderId="29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6"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2409825</xdr:colOff>
      <xdr:row>34</xdr:row>
      <xdr:rowOff>142875</xdr:rowOff>
    </xdr:from>
    <xdr:to>
      <xdr:col>3</xdr:col>
      <xdr:colOff>1152525</xdr:colOff>
      <xdr:row>48</xdr:row>
      <xdr:rowOff>28575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6F9922C-08E4-5102-3257-EF88A2C2B79C}"/>
            </a:ext>
          </a:extLst>
        </xdr:cNvPr>
        <xdr:cNvCxnSpPr>
          <a:cxnSpLocks/>
        </xdr:cNvCxnSpPr>
      </xdr:nvCxnSpPr>
      <xdr:spPr>
        <a:xfrm flipV="1">
          <a:off x="3019425" y="6619875"/>
          <a:ext cx="2457450" cy="255270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990600</xdr:colOff>
      <xdr:row>24</xdr:row>
      <xdr:rowOff>161925</xdr:rowOff>
    </xdr:from>
    <xdr:to>
      <xdr:col>6</xdr:col>
      <xdr:colOff>533400</xdr:colOff>
      <xdr:row>34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DB5556-F8C7-4B82-A5DF-541C98D686F4}"/>
            </a:ext>
            <a:ext uri="{147F2762-F138-4A5C-976F-8EAC2B608ADB}">
              <a16:predDERef xmlns:a16="http://schemas.microsoft.com/office/drawing/2014/main" pred="{86F9922C-08E4-5102-3257-EF88A2C2B79C}"/>
            </a:ext>
          </a:extLst>
        </xdr:cNvPr>
        <xdr:cNvCxnSpPr>
          <a:cxnSpLocks/>
        </xdr:cNvCxnSpPr>
      </xdr:nvCxnSpPr>
      <xdr:spPr>
        <a:xfrm flipV="1">
          <a:off x="6486525" y="4733925"/>
          <a:ext cx="1238250" cy="18573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24</xdr:row>
      <xdr:rowOff>95250</xdr:rowOff>
    </xdr:from>
    <xdr:to>
      <xdr:col>8</xdr:col>
      <xdr:colOff>542925</xdr:colOff>
      <xdr:row>26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69218F-45E9-4F9C-B38D-53A9EEF8B006}"/>
            </a:ext>
            <a:ext uri="{147F2762-F138-4A5C-976F-8EAC2B608ADB}">
              <a16:predDERef xmlns:a16="http://schemas.microsoft.com/office/drawing/2014/main" pred="{22DB5556-F8C7-4B82-A5DF-541C98D686F4}"/>
            </a:ext>
          </a:extLst>
        </xdr:cNvPr>
        <xdr:cNvCxnSpPr>
          <a:cxnSpLocks/>
        </xdr:cNvCxnSpPr>
      </xdr:nvCxnSpPr>
      <xdr:spPr>
        <a:xfrm>
          <a:off x="9220200" y="4667250"/>
          <a:ext cx="666750" cy="38100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21</xdr:row>
      <xdr:rowOff>152400</xdr:rowOff>
    </xdr:from>
    <xdr:to>
      <xdr:col>8</xdr:col>
      <xdr:colOff>581025</xdr:colOff>
      <xdr:row>24</xdr:row>
      <xdr:rowOff>85725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B5AA673-A143-4493-903A-67ABB8C71FA3}"/>
            </a:ext>
            <a:ext uri="{147F2762-F138-4A5C-976F-8EAC2B608ADB}">
              <a16:predDERef xmlns:a16="http://schemas.microsoft.com/office/drawing/2014/main" pred="{A569218F-45E9-4F9C-B38D-53A9EEF8B006}"/>
            </a:ext>
          </a:extLst>
        </xdr:cNvPr>
        <xdr:cNvCxnSpPr>
          <a:cxnSpLocks/>
        </xdr:cNvCxnSpPr>
      </xdr:nvCxnSpPr>
      <xdr:spPr>
        <a:xfrm flipV="1">
          <a:off x="9220200" y="4152900"/>
          <a:ext cx="704850" cy="50482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990600</xdr:colOff>
      <xdr:row>34</xdr:row>
      <xdr:rowOff>95250</xdr:rowOff>
    </xdr:from>
    <xdr:to>
      <xdr:col>6</xdr:col>
      <xdr:colOff>552450</xdr:colOff>
      <xdr:row>34</xdr:row>
      <xdr:rowOff>114300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42C057E-32B9-40BC-BF59-CC0CC8185CC3}"/>
            </a:ext>
            <a:ext uri="{147F2762-F138-4A5C-976F-8EAC2B608ADB}">
              <a16:predDERef xmlns:a16="http://schemas.microsoft.com/office/drawing/2014/main" pred="{EB5AA673-A143-4493-903A-67ABB8C71FA3}"/>
            </a:ext>
          </a:extLst>
        </xdr:cNvPr>
        <xdr:cNvCxnSpPr>
          <a:cxnSpLocks/>
        </xdr:cNvCxnSpPr>
      </xdr:nvCxnSpPr>
      <xdr:spPr>
        <a:xfrm flipV="1">
          <a:off x="6486525" y="6572250"/>
          <a:ext cx="1257300" cy="1905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34</xdr:row>
      <xdr:rowOff>95250</xdr:rowOff>
    </xdr:from>
    <xdr:to>
      <xdr:col>8</xdr:col>
      <xdr:colOff>581025</xdr:colOff>
      <xdr:row>36</xdr:row>
      <xdr:rowOff>95250</xdr:rowOff>
    </xdr:to>
    <xdr:cxnSp macro="">
      <xdr:nvCxnSpPr>
        <xdr:cNvPr id="7" name="Conector recto 3">
          <a:extLst>
            <a:ext uri="{FF2B5EF4-FFF2-40B4-BE49-F238E27FC236}">
              <a16:creationId xmlns:a16="http://schemas.microsoft.com/office/drawing/2014/main" id="{1E4E9DEF-DB25-4A0E-AAC1-5CE12591CFCD}"/>
            </a:ext>
            <a:ext uri="{147F2762-F138-4A5C-976F-8EAC2B608ADB}">
              <a16:predDERef xmlns:a16="http://schemas.microsoft.com/office/drawing/2014/main" pred="{042C057E-32B9-40BC-BF59-CC0CC8185CC3}"/>
            </a:ext>
          </a:extLst>
        </xdr:cNvPr>
        <xdr:cNvCxnSpPr>
          <a:cxnSpLocks/>
        </xdr:cNvCxnSpPr>
      </xdr:nvCxnSpPr>
      <xdr:spPr>
        <a:xfrm>
          <a:off x="9220200" y="6572250"/>
          <a:ext cx="704850" cy="38100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31</xdr:row>
      <xdr:rowOff>133350</xdr:rowOff>
    </xdr:from>
    <xdr:to>
      <xdr:col>8</xdr:col>
      <xdr:colOff>590550</xdr:colOff>
      <xdr:row>34</xdr:row>
      <xdr:rowOff>85725</xdr:rowOff>
    </xdr:to>
    <xdr:cxnSp macro="">
      <xdr:nvCxnSpPr>
        <xdr:cNvPr id="8" name="Conector recto 4">
          <a:extLst>
            <a:ext uri="{FF2B5EF4-FFF2-40B4-BE49-F238E27FC236}">
              <a16:creationId xmlns:a16="http://schemas.microsoft.com/office/drawing/2014/main" id="{8DFD7A86-FD0D-4694-8131-F30A69D0E81D}"/>
            </a:ext>
            <a:ext uri="{147F2762-F138-4A5C-976F-8EAC2B608ADB}">
              <a16:predDERef xmlns:a16="http://schemas.microsoft.com/office/drawing/2014/main" pred="{1E4E9DEF-DB25-4A0E-AAC1-5CE12591CFCD}"/>
            </a:ext>
          </a:extLst>
        </xdr:cNvPr>
        <xdr:cNvCxnSpPr>
          <a:cxnSpLocks/>
        </xdr:cNvCxnSpPr>
      </xdr:nvCxnSpPr>
      <xdr:spPr>
        <a:xfrm flipV="1">
          <a:off x="9220200" y="6038850"/>
          <a:ext cx="714375" cy="5238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981075</xdr:colOff>
      <xdr:row>34</xdr:row>
      <xdr:rowOff>95250</xdr:rowOff>
    </xdr:from>
    <xdr:to>
      <xdr:col>6</xdr:col>
      <xdr:colOff>514350</xdr:colOff>
      <xdr:row>43</xdr:row>
      <xdr:rowOff>66675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C0359260-8A27-4C4D-8E25-3DC6BB76BA26}"/>
            </a:ext>
            <a:ext uri="{147F2762-F138-4A5C-976F-8EAC2B608ADB}">
              <a16:predDERef xmlns:a16="http://schemas.microsoft.com/office/drawing/2014/main" pred="{8DFD7A86-FD0D-4694-8131-F30A69D0E81D}"/>
            </a:ext>
          </a:extLst>
        </xdr:cNvPr>
        <xdr:cNvCxnSpPr>
          <a:cxnSpLocks/>
        </xdr:cNvCxnSpPr>
      </xdr:nvCxnSpPr>
      <xdr:spPr>
        <a:xfrm>
          <a:off x="6477000" y="6572250"/>
          <a:ext cx="1228725" cy="168592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1495425</xdr:colOff>
      <xdr:row>44</xdr:row>
      <xdr:rowOff>133350</xdr:rowOff>
    </xdr:from>
    <xdr:to>
      <xdr:col>8</xdr:col>
      <xdr:colOff>571500</xdr:colOff>
      <xdr:row>46</xdr:row>
      <xdr:rowOff>104775</xdr:rowOff>
    </xdr:to>
    <xdr:cxnSp macro="">
      <xdr:nvCxnSpPr>
        <xdr:cNvPr id="10" name="Conector recto 3">
          <a:extLst>
            <a:ext uri="{FF2B5EF4-FFF2-40B4-BE49-F238E27FC236}">
              <a16:creationId xmlns:a16="http://schemas.microsoft.com/office/drawing/2014/main" id="{8E8B7145-93D6-4307-8E03-C4BF1A625693}"/>
            </a:ext>
            <a:ext uri="{147F2762-F138-4A5C-976F-8EAC2B608ADB}">
              <a16:predDERef xmlns:a16="http://schemas.microsoft.com/office/drawing/2014/main" pred="{C0359260-8A27-4C4D-8E25-3DC6BB76BA26}"/>
            </a:ext>
          </a:extLst>
        </xdr:cNvPr>
        <xdr:cNvCxnSpPr>
          <a:cxnSpLocks/>
        </xdr:cNvCxnSpPr>
      </xdr:nvCxnSpPr>
      <xdr:spPr>
        <a:xfrm>
          <a:off x="9296400" y="8515350"/>
          <a:ext cx="619125" cy="35242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1495425</xdr:colOff>
      <xdr:row>42</xdr:row>
      <xdr:rowOff>152400</xdr:rowOff>
    </xdr:from>
    <xdr:to>
      <xdr:col>8</xdr:col>
      <xdr:colOff>542925</xdr:colOff>
      <xdr:row>44</xdr:row>
      <xdr:rowOff>133350</xdr:rowOff>
    </xdr:to>
    <xdr:cxnSp macro="">
      <xdr:nvCxnSpPr>
        <xdr:cNvPr id="11" name="Conector recto 4">
          <a:extLst>
            <a:ext uri="{FF2B5EF4-FFF2-40B4-BE49-F238E27FC236}">
              <a16:creationId xmlns:a16="http://schemas.microsoft.com/office/drawing/2014/main" id="{917EE503-1945-4F46-A442-E64E813C5218}"/>
            </a:ext>
            <a:ext uri="{147F2762-F138-4A5C-976F-8EAC2B608ADB}">
              <a16:predDERef xmlns:a16="http://schemas.microsoft.com/office/drawing/2014/main" pred="{8E8B7145-93D6-4307-8E03-C4BF1A625693}"/>
            </a:ext>
          </a:extLst>
        </xdr:cNvPr>
        <xdr:cNvCxnSpPr>
          <a:cxnSpLocks/>
        </xdr:cNvCxnSpPr>
      </xdr:nvCxnSpPr>
      <xdr:spPr>
        <a:xfrm flipV="1">
          <a:off x="9296400" y="8153400"/>
          <a:ext cx="590550" cy="36195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2428875</xdr:colOff>
      <xdr:row>48</xdr:row>
      <xdr:rowOff>28575</xdr:rowOff>
    </xdr:from>
    <xdr:to>
      <xdr:col>4</xdr:col>
      <xdr:colOff>28575</xdr:colOff>
      <xdr:row>64</xdr:row>
      <xdr:rowOff>19050</xdr:rowOff>
    </xdr:to>
    <xdr:cxnSp macro="">
      <xdr:nvCxnSpPr>
        <xdr:cNvPr id="12" name="Conector recto 1">
          <a:extLst>
            <a:ext uri="{FF2B5EF4-FFF2-40B4-BE49-F238E27FC236}">
              <a16:creationId xmlns:a16="http://schemas.microsoft.com/office/drawing/2014/main" id="{A638715C-465B-4F43-927E-67D52545F931}"/>
            </a:ext>
            <a:ext uri="{147F2762-F138-4A5C-976F-8EAC2B608ADB}">
              <a16:predDERef xmlns:a16="http://schemas.microsoft.com/office/drawing/2014/main" pred="{917EE503-1945-4F46-A442-E64E813C5218}"/>
            </a:ext>
          </a:extLst>
        </xdr:cNvPr>
        <xdr:cNvCxnSpPr>
          <a:cxnSpLocks/>
        </xdr:cNvCxnSpPr>
      </xdr:nvCxnSpPr>
      <xdr:spPr>
        <a:xfrm>
          <a:off x="3038475" y="9172575"/>
          <a:ext cx="2486025" cy="30384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54</xdr:row>
      <xdr:rowOff>161925</xdr:rowOff>
    </xdr:from>
    <xdr:to>
      <xdr:col>6</xdr:col>
      <xdr:colOff>533400</xdr:colOff>
      <xdr:row>64</xdr:row>
      <xdr:rowOff>66675</xdr:rowOff>
    </xdr:to>
    <xdr:cxnSp macro="">
      <xdr:nvCxnSpPr>
        <xdr:cNvPr id="13" name="Conector recto 2">
          <a:extLst>
            <a:ext uri="{FF2B5EF4-FFF2-40B4-BE49-F238E27FC236}">
              <a16:creationId xmlns:a16="http://schemas.microsoft.com/office/drawing/2014/main" id="{1FB779E4-8FA2-4038-8CAF-F487DBB5CB41}"/>
            </a:ext>
            <a:ext uri="{147F2762-F138-4A5C-976F-8EAC2B608ADB}">
              <a16:predDERef xmlns:a16="http://schemas.microsoft.com/office/drawing/2014/main" pred="{A638715C-465B-4F43-927E-67D52545F931}"/>
            </a:ext>
          </a:extLst>
        </xdr:cNvPr>
        <xdr:cNvCxnSpPr>
          <a:cxnSpLocks/>
        </xdr:cNvCxnSpPr>
      </xdr:nvCxnSpPr>
      <xdr:spPr>
        <a:xfrm flipV="1">
          <a:off x="6372225" y="10448925"/>
          <a:ext cx="1352550" cy="180975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54</xdr:row>
      <xdr:rowOff>95250</xdr:rowOff>
    </xdr:from>
    <xdr:to>
      <xdr:col>8</xdr:col>
      <xdr:colOff>590550</xdr:colOff>
      <xdr:row>56</xdr:row>
      <xdr:rowOff>104775</xdr:rowOff>
    </xdr:to>
    <xdr:cxnSp macro="">
      <xdr:nvCxnSpPr>
        <xdr:cNvPr id="14" name="Conector recto 3">
          <a:extLst>
            <a:ext uri="{FF2B5EF4-FFF2-40B4-BE49-F238E27FC236}">
              <a16:creationId xmlns:a16="http://schemas.microsoft.com/office/drawing/2014/main" id="{3DD49C66-E262-4817-8280-0DC9BD146949}"/>
            </a:ext>
            <a:ext uri="{147F2762-F138-4A5C-976F-8EAC2B608ADB}">
              <a16:predDERef xmlns:a16="http://schemas.microsoft.com/office/drawing/2014/main" pred="{1FB779E4-8FA2-4038-8CAF-F487DBB5CB41}"/>
            </a:ext>
          </a:extLst>
        </xdr:cNvPr>
        <xdr:cNvCxnSpPr>
          <a:cxnSpLocks/>
        </xdr:cNvCxnSpPr>
      </xdr:nvCxnSpPr>
      <xdr:spPr>
        <a:xfrm>
          <a:off x="9220200" y="10382250"/>
          <a:ext cx="714375" cy="39052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51</xdr:row>
      <xdr:rowOff>133350</xdr:rowOff>
    </xdr:from>
    <xdr:to>
      <xdr:col>8</xdr:col>
      <xdr:colOff>571500</xdr:colOff>
      <xdr:row>54</xdr:row>
      <xdr:rowOff>85725</xdr:rowOff>
    </xdr:to>
    <xdr:cxnSp macro="">
      <xdr:nvCxnSpPr>
        <xdr:cNvPr id="15" name="Conector recto 4">
          <a:extLst>
            <a:ext uri="{FF2B5EF4-FFF2-40B4-BE49-F238E27FC236}">
              <a16:creationId xmlns:a16="http://schemas.microsoft.com/office/drawing/2014/main" id="{D58C17E6-BE50-48E9-8841-1D0A0D740660}"/>
            </a:ext>
            <a:ext uri="{147F2762-F138-4A5C-976F-8EAC2B608ADB}">
              <a16:predDERef xmlns:a16="http://schemas.microsoft.com/office/drawing/2014/main" pred="{3DD49C66-E262-4817-8280-0DC9BD146949}"/>
            </a:ext>
          </a:extLst>
        </xdr:cNvPr>
        <xdr:cNvCxnSpPr>
          <a:cxnSpLocks/>
        </xdr:cNvCxnSpPr>
      </xdr:nvCxnSpPr>
      <xdr:spPr>
        <a:xfrm flipV="1">
          <a:off x="9220200" y="9848850"/>
          <a:ext cx="695325" cy="5238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64</xdr:row>
      <xdr:rowOff>66675</xdr:rowOff>
    </xdr:from>
    <xdr:to>
      <xdr:col>6</xdr:col>
      <xdr:colOff>542925</xdr:colOff>
      <xdr:row>64</xdr:row>
      <xdr:rowOff>95250</xdr:rowOff>
    </xdr:to>
    <xdr:cxnSp macro="">
      <xdr:nvCxnSpPr>
        <xdr:cNvPr id="16" name="Conector recto 5">
          <a:extLst>
            <a:ext uri="{FF2B5EF4-FFF2-40B4-BE49-F238E27FC236}">
              <a16:creationId xmlns:a16="http://schemas.microsoft.com/office/drawing/2014/main" id="{060A14A9-F16B-4C78-8D89-1EB30E5BEA20}"/>
            </a:ext>
            <a:ext uri="{147F2762-F138-4A5C-976F-8EAC2B608ADB}">
              <a16:predDERef xmlns:a16="http://schemas.microsoft.com/office/drawing/2014/main" pred="{D58C17E6-BE50-48E9-8841-1D0A0D740660}"/>
            </a:ext>
          </a:extLst>
        </xdr:cNvPr>
        <xdr:cNvCxnSpPr>
          <a:cxnSpLocks/>
        </xdr:cNvCxnSpPr>
      </xdr:nvCxnSpPr>
      <xdr:spPr>
        <a:xfrm>
          <a:off x="6372225" y="12258675"/>
          <a:ext cx="1362075" cy="285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64</xdr:row>
      <xdr:rowOff>95250</xdr:rowOff>
    </xdr:from>
    <xdr:to>
      <xdr:col>8</xdr:col>
      <xdr:colOff>552450</xdr:colOff>
      <xdr:row>66</xdr:row>
      <xdr:rowOff>85725</xdr:rowOff>
    </xdr:to>
    <xdr:cxnSp macro="">
      <xdr:nvCxnSpPr>
        <xdr:cNvPr id="17" name="Conector recto 3">
          <a:extLst>
            <a:ext uri="{FF2B5EF4-FFF2-40B4-BE49-F238E27FC236}">
              <a16:creationId xmlns:a16="http://schemas.microsoft.com/office/drawing/2014/main" id="{B18C7E63-1E23-464F-A0F1-EA720CFB32E8}"/>
            </a:ext>
            <a:ext uri="{147F2762-F138-4A5C-976F-8EAC2B608ADB}">
              <a16:predDERef xmlns:a16="http://schemas.microsoft.com/office/drawing/2014/main" pred="{060A14A9-F16B-4C78-8D89-1EB30E5BEA20}"/>
            </a:ext>
          </a:extLst>
        </xdr:cNvPr>
        <xdr:cNvCxnSpPr>
          <a:cxnSpLocks/>
        </xdr:cNvCxnSpPr>
      </xdr:nvCxnSpPr>
      <xdr:spPr>
        <a:xfrm>
          <a:off x="9220200" y="12287250"/>
          <a:ext cx="676275" cy="3714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1419225</xdr:colOff>
      <xdr:row>61</xdr:row>
      <xdr:rowOff>114300</xdr:rowOff>
    </xdr:from>
    <xdr:to>
      <xdr:col>8</xdr:col>
      <xdr:colOff>571500</xdr:colOff>
      <xdr:row>64</xdr:row>
      <xdr:rowOff>85725</xdr:rowOff>
    </xdr:to>
    <xdr:cxnSp macro="">
      <xdr:nvCxnSpPr>
        <xdr:cNvPr id="18" name="Conector recto 4">
          <a:extLst>
            <a:ext uri="{FF2B5EF4-FFF2-40B4-BE49-F238E27FC236}">
              <a16:creationId xmlns:a16="http://schemas.microsoft.com/office/drawing/2014/main" id="{9D9801C6-0BB8-4F0E-A297-D27F8E1F1E47}"/>
            </a:ext>
            <a:ext uri="{147F2762-F138-4A5C-976F-8EAC2B608ADB}">
              <a16:predDERef xmlns:a16="http://schemas.microsoft.com/office/drawing/2014/main" pred="{B18C7E63-1E23-464F-A0F1-EA720CFB32E8}"/>
            </a:ext>
          </a:extLst>
        </xdr:cNvPr>
        <xdr:cNvCxnSpPr>
          <a:cxnSpLocks/>
        </xdr:cNvCxnSpPr>
      </xdr:nvCxnSpPr>
      <xdr:spPr>
        <a:xfrm flipV="1">
          <a:off x="9220200" y="11734800"/>
          <a:ext cx="695325" cy="54292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866775</xdr:colOff>
      <xdr:row>64</xdr:row>
      <xdr:rowOff>66675</xdr:rowOff>
    </xdr:from>
    <xdr:to>
      <xdr:col>6</xdr:col>
      <xdr:colOff>561975</xdr:colOff>
      <xdr:row>74</xdr:row>
      <xdr:rowOff>95250</xdr:rowOff>
    </xdr:to>
    <xdr:cxnSp macro="">
      <xdr:nvCxnSpPr>
        <xdr:cNvPr id="19" name="Conector recto 8">
          <a:extLst>
            <a:ext uri="{FF2B5EF4-FFF2-40B4-BE49-F238E27FC236}">
              <a16:creationId xmlns:a16="http://schemas.microsoft.com/office/drawing/2014/main" id="{F5BBD81A-2451-43EB-BD2B-DFF83BC5AA19}"/>
            </a:ext>
            <a:ext uri="{147F2762-F138-4A5C-976F-8EAC2B608ADB}">
              <a16:predDERef xmlns:a16="http://schemas.microsoft.com/office/drawing/2014/main" pred="{9D9801C6-0BB8-4F0E-A297-D27F8E1F1E47}"/>
            </a:ext>
          </a:extLst>
        </xdr:cNvPr>
        <xdr:cNvCxnSpPr>
          <a:cxnSpLocks/>
        </xdr:cNvCxnSpPr>
      </xdr:nvCxnSpPr>
      <xdr:spPr>
        <a:xfrm>
          <a:off x="6362700" y="12258675"/>
          <a:ext cx="1390650" cy="1933575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1495425</xdr:colOff>
      <xdr:row>74</xdr:row>
      <xdr:rowOff>133350</xdr:rowOff>
    </xdr:from>
    <xdr:to>
      <xdr:col>8</xdr:col>
      <xdr:colOff>619125</xdr:colOff>
      <xdr:row>76</xdr:row>
      <xdr:rowOff>114300</xdr:rowOff>
    </xdr:to>
    <xdr:cxnSp macro="">
      <xdr:nvCxnSpPr>
        <xdr:cNvPr id="20" name="Conector recto 3">
          <a:extLst>
            <a:ext uri="{FF2B5EF4-FFF2-40B4-BE49-F238E27FC236}">
              <a16:creationId xmlns:a16="http://schemas.microsoft.com/office/drawing/2014/main" id="{FEEB1041-84FA-41FB-ACD0-40644A4057B2}"/>
            </a:ext>
            <a:ext uri="{147F2762-F138-4A5C-976F-8EAC2B608ADB}">
              <a16:predDERef xmlns:a16="http://schemas.microsoft.com/office/drawing/2014/main" pred="{F5BBD81A-2451-43EB-BD2B-DFF83BC5AA19}"/>
            </a:ext>
          </a:extLst>
        </xdr:cNvPr>
        <xdr:cNvCxnSpPr>
          <a:cxnSpLocks/>
        </xdr:cNvCxnSpPr>
      </xdr:nvCxnSpPr>
      <xdr:spPr>
        <a:xfrm>
          <a:off x="9296400" y="14230350"/>
          <a:ext cx="666750" cy="36195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1495425</xdr:colOff>
      <xdr:row>71</xdr:row>
      <xdr:rowOff>123825</xdr:rowOff>
    </xdr:from>
    <xdr:to>
      <xdr:col>8</xdr:col>
      <xdr:colOff>571500</xdr:colOff>
      <xdr:row>74</xdr:row>
      <xdr:rowOff>123825</xdr:rowOff>
    </xdr:to>
    <xdr:cxnSp macro="">
      <xdr:nvCxnSpPr>
        <xdr:cNvPr id="21" name="Conector recto 4">
          <a:extLst>
            <a:ext uri="{FF2B5EF4-FFF2-40B4-BE49-F238E27FC236}">
              <a16:creationId xmlns:a16="http://schemas.microsoft.com/office/drawing/2014/main" id="{C8C3095F-810E-430A-935B-6D3C135905E2}"/>
            </a:ext>
            <a:ext uri="{147F2762-F138-4A5C-976F-8EAC2B608ADB}">
              <a16:predDERef xmlns:a16="http://schemas.microsoft.com/office/drawing/2014/main" pred="{FEEB1041-84FA-41FB-ACD0-40644A4057B2}"/>
            </a:ext>
          </a:extLst>
        </xdr:cNvPr>
        <xdr:cNvCxnSpPr>
          <a:cxnSpLocks/>
        </xdr:cNvCxnSpPr>
      </xdr:nvCxnSpPr>
      <xdr:spPr>
        <a:xfrm flipV="1">
          <a:off x="9296400" y="13649325"/>
          <a:ext cx="619125" cy="57150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BFA6-7E57-7B45-95AA-6466509B33DD}">
  <dimension ref="A1:M32"/>
  <sheetViews>
    <sheetView showGridLines="0" topLeftCell="F1" zoomScaleNormal="60" zoomScaleSheetLayoutView="100" workbookViewId="0">
      <selection activeCell="H19" sqref="H19"/>
    </sheetView>
  </sheetViews>
  <sheetFormatPr baseColWidth="10" defaultColWidth="9.125" defaultRowHeight="14.25"/>
  <cols>
    <col min="1" max="1" width="41.375" customWidth="1"/>
    <col min="2" max="2" width="39.875" customWidth="1"/>
    <col min="3" max="3" width="19.5" customWidth="1"/>
    <col min="4" max="4" width="19.75" customWidth="1"/>
    <col min="5" max="5" width="33" customWidth="1"/>
    <col min="6" max="6" width="37.125" customWidth="1"/>
    <col min="7" max="7" width="22.375" customWidth="1"/>
    <col min="8" max="8" width="18.125" customWidth="1"/>
    <col min="9" max="9" width="23.625" customWidth="1"/>
    <col min="10" max="10" width="15.875" customWidth="1"/>
    <col min="11" max="11" width="13.5" customWidth="1"/>
    <col min="12" max="12" width="19.5" customWidth="1"/>
    <col min="13" max="13" width="13.5" customWidth="1"/>
    <col min="14" max="14" width="11.375" customWidth="1"/>
  </cols>
  <sheetData>
    <row r="1" spans="1:13" ht="15">
      <c r="A1" s="3" t="s">
        <v>0</v>
      </c>
      <c r="B1" s="3" t="s">
        <v>1</v>
      </c>
      <c r="E1" s="97" t="s">
        <v>2</v>
      </c>
      <c r="F1" s="3" t="s">
        <v>0</v>
      </c>
      <c r="G1" s="3" t="s">
        <v>1</v>
      </c>
    </row>
    <row r="2" spans="1:13" ht="15">
      <c r="A2" s="4" t="s">
        <v>3</v>
      </c>
      <c r="B2" s="9">
        <f>300000*4</f>
        <v>1200000</v>
      </c>
      <c r="F2" s="4" t="s">
        <v>3</v>
      </c>
      <c r="G2" s="9">
        <f>280000*4</f>
        <v>1120000</v>
      </c>
    </row>
    <row r="3" spans="1:13" ht="15">
      <c r="A3" s="4" t="s">
        <v>4</v>
      </c>
      <c r="B3" s="9">
        <f>('Mano de OBra'!F17)</f>
        <v>5760000</v>
      </c>
      <c r="F3" s="4" t="s">
        <v>4</v>
      </c>
      <c r="G3" s="9">
        <f>+'Mano de OBra'!O18</f>
        <v>6240000</v>
      </c>
      <c r="M3" s="2"/>
    </row>
    <row r="4" spans="1:13" ht="15">
      <c r="A4" s="4" t="s">
        <v>5</v>
      </c>
      <c r="B4" s="9">
        <v>3000000</v>
      </c>
      <c r="C4" s="4" t="s">
        <v>6</v>
      </c>
      <c r="D4" s="9">
        <v>4000</v>
      </c>
      <c r="F4" s="4" t="s">
        <v>5</v>
      </c>
      <c r="G4" s="9">
        <v>2500000</v>
      </c>
      <c r="H4" s="4" t="s">
        <v>6</v>
      </c>
      <c r="I4" s="9">
        <v>4000</v>
      </c>
    </row>
    <row r="5" spans="1:13" ht="15">
      <c r="A5" s="4" t="s">
        <v>7</v>
      </c>
      <c r="B5" s="9">
        <v>1800009</v>
      </c>
      <c r="C5" s="4" t="s">
        <v>8</v>
      </c>
      <c r="D5" s="9">
        <v>800</v>
      </c>
      <c r="F5" s="4" t="s">
        <v>7</v>
      </c>
      <c r="G5" s="9">
        <v>1800000</v>
      </c>
      <c r="H5" s="4" t="s">
        <v>9</v>
      </c>
      <c r="I5" s="9">
        <v>1500</v>
      </c>
      <c r="K5" s="2"/>
    </row>
    <row r="6" spans="1:13" ht="15">
      <c r="A6" s="4" t="s">
        <v>10</v>
      </c>
      <c r="B6" s="9">
        <v>1280000</v>
      </c>
      <c r="F6" s="4" t="s">
        <v>10</v>
      </c>
      <c r="G6" s="9">
        <v>1280000</v>
      </c>
    </row>
    <row r="8" spans="1:13" ht="15">
      <c r="A8" s="4" t="s">
        <v>11</v>
      </c>
      <c r="B8" s="9">
        <f>B3*11.5%</f>
        <v>662400</v>
      </c>
      <c r="F8" s="4" t="s">
        <v>11</v>
      </c>
      <c r="G8" s="9">
        <f>G3*11.5%</f>
        <v>717600</v>
      </c>
    </row>
    <row r="9" spans="1:13" ht="15">
      <c r="A9" s="4" t="s">
        <v>12</v>
      </c>
      <c r="B9" s="9">
        <v>1000000</v>
      </c>
      <c r="F9" s="4" t="s">
        <v>12</v>
      </c>
      <c r="G9" s="9">
        <v>100000</v>
      </c>
    </row>
    <row r="10" spans="1:13" ht="15">
      <c r="A10" s="5" t="s">
        <v>13</v>
      </c>
      <c r="B10" s="14">
        <v>1000000</v>
      </c>
      <c r="F10" s="5" t="s">
        <v>13</v>
      </c>
      <c r="G10" s="14">
        <v>1000000</v>
      </c>
    </row>
    <row r="11" spans="1:13" ht="15">
      <c r="A11" s="3" t="s">
        <v>14</v>
      </c>
      <c r="B11" s="9">
        <f>(SUM(B2:B10))</f>
        <v>15702409</v>
      </c>
      <c r="F11" s="3" t="s">
        <v>14</v>
      </c>
      <c r="G11" s="9">
        <f>(SUM(G2:G10))</f>
        <v>14757600</v>
      </c>
    </row>
    <row r="13" spans="1:13" ht="15">
      <c r="A13" s="4" t="s">
        <v>15</v>
      </c>
      <c r="B13" s="9">
        <f>(B19/(B26+B27))</f>
        <v>657.82912912264419</v>
      </c>
      <c r="F13" s="4" t="s">
        <v>15</v>
      </c>
      <c r="G13" s="9">
        <f>(G19/(G26+G27))</f>
        <v>615.21586835080018</v>
      </c>
    </row>
    <row r="14" spans="1:13" ht="15">
      <c r="E14" s="1"/>
    </row>
    <row r="15" spans="1:13" ht="15">
      <c r="A15" s="53" t="s">
        <v>16</v>
      </c>
      <c r="B15" s="53" t="s">
        <v>1</v>
      </c>
      <c r="E15" s="1"/>
      <c r="F15" s="53" t="s">
        <v>16</v>
      </c>
      <c r="G15" s="53" t="s">
        <v>1</v>
      </c>
    </row>
    <row r="16" spans="1:13" ht="15">
      <c r="A16" s="15" t="s">
        <v>17</v>
      </c>
      <c r="B16" s="16">
        <v>3000000</v>
      </c>
      <c r="F16" s="15" t="s">
        <v>17</v>
      </c>
      <c r="G16" s="16">
        <v>3000000</v>
      </c>
    </row>
    <row r="17" spans="1:10" ht="15">
      <c r="A17" s="5" t="s">
        <v>18</v>
      </c>
      <c r="B17" s="9">
        <f>AVERAGE('Alimentación '!E11:BL11)</f>
        <v>58043341.398957349</v>
      </c>
      <c r="F17" s="5" t="s">
        <v>18</v>
      </c>
      <c r="G17" s="9">
        <f>AVERAGE('Alimentación '!E26:BL26)</f>
        <v>62752864.628149644</v>
      </c>
    </row>
    <row r="18" spans="1:10" ht="15">
      <c r="A18" s="4" t="s">
        <v>19</v>
      </c>
      <c r="B18" s="9">
        <f>(Transporte!D6)</f>
        <v>4883081.3322689533</v>
      </c>
      <c r="F18" s="4" t="s">
        <v>19</v>
      </c>
      <c r="G18" s="9">
        <f>(Transporte!D17)</f>
        <v>5192269.913956074</v>
      </c>
    </row>
    <row r="19" spans="1:10" ht="15">
      <c r="A19" s="3" t="s">
        <v>20</v>
      </c>
      <c r="B19" s="9">
        <f>(B16+B17+B18)*C19</f>
        <v>65926422.731226303</v>
      </c>
      <c r="C19">
        <v>1</v>
      </c>
      <c r="F19" s="3" t="s">
        <v>20</v>
      </c>
      <c r="G19" s="9">
        <f>(G16+G17+G18)*H19</f>
        <v>66688426.469579369</v>
      </c>
      <c r="H19">
        <v>0.94</v>
      </c>
    </row>
    <row r="21" spans="1:10" ht="15">
      <c r="A21" s="53" t="s">
        <v>21</v>
      </c>
      <c r="B21" s="54">
        <f>(B11+B19)</f>
        <v>81628831.731226295</v>
      </c>
      <c r="F21" s="53" t="s">
        <v>21</v>
      </c>
      <c r="G21" s="54">
        <f>(G11+G19)</f>
        <v>81446026.469579369</v>
      </c>
    </row>
    <row r="24" spans="1:10" ht="15">
      <c r="A24" s="59" t="s">
        <v>22</v>
      </c>
      <c r="B24" s="60"/>
      <c r="C24" s="60"/>
      <c r="D24" s="61"/>
      <c r="F24" s="59" t="s">
        <v>22</v>
      </c>
      <c r="G24" s="60"/>
      <c r="H24" s="60"/>
      <c r="I24" s="61"/>
      <c r="J24" s="86"/>
    </row>
    <row r="25" spans="1:10" ht="15">
      <c r="A25" s="6" t="s">
        <v>23</v>
      </c>
      <c r="B25" s="17" t="s">
        <v>24</v>
      </c>
      <c r="C25" s="8" t="s">
        <v>25</v>
      </c>
      <c r="D25" s="7" t="s">
        <v>26</v>
      </c>
      <c r="F25" s="6" t="s">
        <v>23</v>
      </c>
      <c r="G25" s="17" t="s">
        <v>24</v>
      </c>
      <c r="H25" s="8" t="s">
        <v>25</v>
      </c>
      <c r="I25" s="7" t="s">
        <v>26</v>
      </c>
    </row>
    <row r="26" spans="1:10" ht="15">
      <c r="A26" s="4" t="s">
        <v>27</v>
      </c>
      <c r="B26" s="27">
        <f>+Flujograma!G13/14.5</f>
        <v>49710.02272331636</v>
      </c>
      <c r="C26" s="13">
        <v>850</v>
      </c>
      <c r="D26" s="12">
        <f>(B26*C26)</f>
        <v>42253519.314818904</v>
      </c>
      <c r="F26" s="4" t="s">
        <v>27</v>
      </c>
      <c r="G26" s="27">
        <f>+Flujograma!E40/14.5</f>
        <v>55480.374723589433</v>
      </c>
      <c r="H26" s="13">
        <v>850</v>
      </c>
      <c r="I26" s="12">
        <f>(G26*H26)</f>
        <v>47158318.515051015</v>
      </c>
    </row>
    <row r="27" spans="1:10" ht="15">
      <c r="A27" s="4" t="s">
        <v>28</v>
      </c>
      <c r="B27" s="27">
        <f>+Flujograma!G14/14.5</f>
        <v>50508.133956904363</v>
      </c>
      <c r="C27" s="13">
        <v>850</v>
      </c>
      <c r="D27" s="12">
        <f>(B27*C27)</f>
        <v>42931913.863368705</v>
      </c>
      <c r="F27" s="4" t="s">
        <v>28</v>
      </c>
      <c r="G27" s="27">
        <f>+Flujograma!F40/14.5</f>
        <v>52918.042645504152</v>
      </c>
      <c r="H27" s="13">
        <v>850</v>
      </c>
      <c r="I27" s="12">
        <f>(G27*H27)</f>
        <v>44980336.248678528</v>
      </c>
    </row>
    <row r="29" spans="1:10" ht="15">
      <c r="A29" s="31" t="s">
        <v>29</v>
      </c>
      <c r="B29" s="62"/>
      <c r="C29" s="63"/>
      <c r="D29" s="87">
        <f>(D26+D27)</f>
        <v>85185433.178187609</v>
      </c>
      <c r="F29" s="31" t="s">
        <v>29</v>
      </c>
      <c r="G29" s="62"/>
      <c r="H29" s="63"/>
      <c r="I29" s="87">
        <f>(I26+I27)</f>
        <v>92138654.763729542</v>
      </c>
    </row>
    <row r="32" spans="1:10" ht="15">
      <c r="A32" s="31" t="s">
        <v>30</v>
      </c>
      <c r="B32" s="62"/>
      <c r="C32" s="63"/>
      <c r="D32" s="87">
        <f>(D29-B21)</f>
        <v>3556601.4469613135</v>
      </c>
      <c r="F32" s="31" t="s">
        <v>30</v>
      </c>
      <c r="G32" s="62"/>
      <c r="H32" s="63"/>
      <c r="I32" s="87">
        <f>(I29-G21)</f>
        <v>10692628.294150174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F91A-6D8B-4028-98D5-CFEFA45C44E1}">
  <dimension ref="A1:Q138"/>
  <sheetViews>
    <sheetView showGridLines="0" topLeftCell="B99" zoomScale="90" workbookViewId="0">
      <selection activeCell="G113" sqref="G113"/>
    </sheetView>
  </sheetViews>
  <sheetFormatPr baseColWidth="10" defaultColWidth="9.125" defaultRowHeight="14.25"/>
  <cols>
    <col min="1" max="1" width="28" customWidth="1"/>
    <col min="2" max="2" width="17.75" customWidth="1"/>
    <col min="4" max="4" width="26.125" customWidth="1"/>
    <col min="5" max="5" width="16.875" customWidth="1"/>
    <col min="6" max="6" width="19.5" customWidth="1"/>
    <col min="7" max="7" width="22.25" customWidth="1"/>
    <col min="8" max="8" width="21.25" customWidth="1"/>
    <col min="9" max="10" width="19.125" bestFit="1" customWidth="1"/>
    <col min="11" max="11" width="17.875" bestFit="1" customWidth="1"/>
    <col min="12" max="16" width="19.125" bestFit="1" customWidth="1"/>
  </cols>
  <sheetData>
    <row r="1" spans="1:17" ht="15">
      <c r="A1" s="134" t="s">
        <v>183</v>
      </c>
      <c r="B1" s="138"/>
      <c r="C1" s="138"/>
      <c r="D1" s="3" t="s">
        <v>119</v>
      </c>
      <c r="E1" s="4"/>
      <c r="F1" s="222" t="s">
        <v>120</v>
      </c>
      <c r="G1" s="222"/>
      <c r="H1" s="222"/>
      <c r="I1" s="222"/>
      <c r="J1" s="222"/>
      <c r="K1" s="222"/>
      <c r="L1" s="222"/>
      <c r="M1" s="222"/>
      <c r="N1" s="222"/>
      <c r="O1" s="222"/>
      <c r="P1" s="223"/>
    </row>
    <row r="2" spans="1:17" ht="15">
      <c r="D2" s="4"/>
      <c r="E2" s="90" t="s">
        <v>121</v>
      </c>
      <c r="F2" s="42">
        <v>0</v>
      </c>
      <c r="G2" s="42">
        <v>1</v>
      </c>
      <c r="H2" s="42">
        <v>2</v>
      </c>
      <c r="I2" s="42">
        <v>3</v>
      </c>
      <c r="J2" s="42">
        <v>4</v>
      </c>
      <c r="K2" s="42">
        <v>5</v>
      </c>
      <c r="L2" s="42">
        <v>6</v>
      </c>
      <c r="M2" s="42">
        <v>7</v>
      </c>
      <c r="N2" s="42">
        <v>8</v>
      </c>
      <c r="O2" s="66">
        <v>9</v>
      </c>
      <c r="P2" s="42">
        <v>10</v>
      </c>
    </row>
    <row r="3" spans="1:17" ht="15">
      <c r="A3" s="4" t="s">
        <v>122</v>
      </c>
      <c r="B3" s="29">
        <f>(Flujograma!B2+Flujograma!B16)*'Estado de Resultados'!D4</f>
        <v>286764000</v>
      </c>
      <c r="D3" s="31" t="s">
        <v>123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32"/>
    </row>
    <row r="4" spans="1:17" ht="15">
      <c r="B4" s="29"/>
      <c r="D4" s="4" t="s">
        <v>124</v>
      </c>
      <c r="E4" s="130">
        <f>+'Flujo de efectivo ACTUAL'!E4</f>
        <v>0</v>
      </c>
      <c r="F4" s="15"/>
      <c r="G4" s="91">
        <f>(SUM('Estado de Resultados'!B26:B27))*12</f>
        <v>1202617.8801626486</v>
      </c>
      <c r="H4" s="91">
        <f>+(G4*$E$4)+G4</f>
        <v>1202617.8801626486</v>
      </c>
      <c r="I4" s="91">
        <f>+(H4*$E$4)+H4</f>
        <v>1202617.8801626486</v>
      </c>
      <c r="J4" s="91">
        <f>+(I4*$E$4)+I4</f>
        <v>1202617.8801626486</v>
      </c>
      <c r="K4" s="91">
        <f t="shared" ref="K4:P4" si="0">+(J4*$E$4)+J4</f>
        <v>1202617.8801626486</v>
      </c>
      <c r="L4" s="91">
        <f t="shared" si="0"/>
        <v>1202617.8801626486</v>
      </c>
      <c r="M4" s="91">
        <f t="shared" si="0"/>
        <v>1202617.8801626486</v>
      </c>
      <c r="N4" s="91">
        <f t="shared" si="0"/>
        <v>1202617.8801626486</v>
      </c>
      <c r="O4" s="91">
        <f t="shared" si="0"/>
        <v>1202617.8801626486</v>
      </c>
      <c r="P4" s="91">
        <f t="shared" si="0"/>
        <v>1202617.8801626486</v>
      </c>
      <c r="Q4" s="1"/>
    </row>
    <row r="5" spans="1:17" ht="15">
      <c r="A5" s="4" t="s">
        <v>125</v>
      </c>
      <c r="B5" s="29">
        <f>+B3</f>
        <v>286764000</v>
      </c>
      <c r="D5" s="4" t="s">
        <v>126</v>
      </c>
      <c r="E5" s="130">
        <f>+'Flujo de efectivo ACTUAL'!E5</f>
        <v>0</v>
      </c>
      <c r="F5" s="4"/>
      <c r="G5" s="13">
        <f>+'Estado de Resultados'!C26</f>
        <v>850</v>
      </c>
      <c r="H5" s="29">
        <f>+(G5*$E$5)+G5</f>
        <v>850</v>
      </c>
      <c r="I5" s="29">
        <f t="shared" ref="I5:P5" si="1">+(H5*$E$5)+H5</f>
        <v>850</v>
      </c>
      <c r="J5" s="29">
        <f t="shared" si="1"/>
        <v>850</v>
      </c>
      <c r="K5" s="29">
        <f t="shared" si="1"/>
        <v>850</v>
      </c>
      <c r="L5" s="29">
        <f t="shared" si="1"/>
        <v>850</v>
      </c>
      <c r="M5" s="29">
        <f t="shared" si="1"/>
        <v>850</v>
      </c>
      <c r="N5" s="29">
        <f t="shared" si="1"/>
        <v>850</v>
      </c>
      <c r="O5" s="29">
        <f t="shared" si="1"/>
        <v>850</v>
      </c>
      <c r="P5" s="29">
        <f t="shared" si="1"/>
        <v>850</v>
      </c>
    </row>
    <row r="6" spans="1:17" ht="15">
      <c r="D6" s="3" t="s">
        <v>127</v>
      </c>
      <c r="E6" s="4"/>
      <c r="F6" s="4"/>
      <c r="G6" s="12">
        <f>+(G4*G5)</f>
        <v>1022225198.1382513</v>
      </c>
      <c r="H6" s="12">
        <f t="shared" ref="H6:P6" si="2">+(H4*H5)</f>
        <v>1022225198.1382513</v>
      </c>
      <c r="I6" s="12">
        <f t="shared" si="2"/>
        <v>1022225198.1382513</v>
      </c>
      <c r="J6" s="12">
        <f t="shared" si="2"/>
        <v>1022225198.1382513</v>
      </c>
      <c r="K6" s="12">
        <f t="shared" si="2"/>
        <v>1022225198.1382513</v>
      </c>
      <c r="L6" s="12">
        <f t="shared" si="2"/>
        <v>1022225198.1382513</v>
      </c>
      <c r="M6" s="12">
        <f t="shared" si="2"/>
        <v>1022225198.1382513</v>
      </c>
      <c r="N6" s="12">
        <f t="shared" si="2"/>
        <v>1022225198.1382513</v>
      </c>
      <c r="O6" s="12">
        <f t="shared" si="2"/>
        <v>1022225198.1382513</v>
      </c>
      <c r="P6" s="12">
        <f t="shared" si="2"/>
        <v>1022225198.1382513</v>
      </c>
      <c r="Q6" s="21"/>
    </row>
    <row r="7" spans="1:17" ht="15">
      <c r="A7" s="224" t="s">
        <v>128</v>
      </c>
      <c r="B7" s="225"/>
      <c r="Q7" s="44"/>
    </row>
    <row r="8" spans="1:17" ht="15">
      <c r="A8" s="4" t="s">
        <v>179</v>
      </c>
      <c r="B8" s="29">
        <f>(B5/10)</f>
        <v>28676400</v>
      </c>
      <c r="D8" s="3" t="s">
        <v>130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11"/>
    </row>
    <row r="9" spans="1:17" ht="15">
      <c r="A9" s="4" t="s">
        <v>131</v>
      </c>
      <c r="B9" s="29">
        <f>+'Flujo de efectivo ACTUAL'!B10</f>
        <v>24910528.802333247</v>
      </c>
      <c r="D9" s="4" t="s">
        <v>132</v>
      </c>
      <c r="E9" s="89">
        <f>+'Flujo de efectivo ACTUAL'!E10</f>
        <v>0</v>
      </c>
      <c r="F9" s="4"/>
      <c r="G9" s="13">
        <f>+'Estado de Resultados'!B13</f>
        <v>657.82912912264419</v>
      </c>
      <c r="H9" s="13">
        <f>+(G9*$E$9)+G9</f>
        <v>657.82912912264419</v>
      </c>
      <c r="I9" s="13">
        <f t="shared" ref="I9:P9" si="3">+(H9*$E$9)+H9</f>
        <v>657.82912912264419</v>
      </c>
      <c r="J9" s="13">
        <f t="shared" si="3"/>
        <v>657.82912912264419</v>
      </c>
      <c r="K9" s="13">
        <f t="shared" si="3"/>
        <v>657.82912912264419</v>
      </c>
      <c r="L9" s="13">
        <f t="shared" si="3"/>
        <v>657.82912912264419</v>
      </c>
      <c r="M9" s="13">
        <f t="shared" si="3"/>
        <v>657.82912912264419</v>
      </c>
      <c r="N9" s="13">
        <f t="shared" si="3"/>
        <v>657.82912912264419</v>
      </c>
      <c r="O9" s="13">
        <f t="shared" si="3"/>
        <v>657.82912912264419</v>
      </c>
      <c r="P9" s="93">
        <f t="shared" si="3"/>
        <v>657.82912912264419</v>
      </c>
    </row>
    <row r="10" spans="1:17" ht="15">
      <c r="D10" s="4" t="s">
        <v>133</v>
      </c>
      <c r="E10" s="89">
        <f>+'Flujo de efectivo ACTUAL'!E11</f>
        <v>0</v>
      </c>
      <c r="F10" s="4"/>
      <c r="G10" s="13">
        <f>+'Flujo de efectivo ACTUAL'!G11</f>
        <v>791117072.77471566</v>
      </c>
      <c r="H10" s="13">
        <f>+'Flujo de efectivo ACTUAL'!H11</f>
        <v>791117072.77471566</v>
      </c>
      <c r="I10" s="13">
        <f>+'Flujo de efectivo ACTUAL'!I11</f>
        <v>791117072.77471566</v>
      </c>
      <c r="J10" s="13">
        <f>+'Flujo de efectivo ACTUAL'!J11</f>
        <v>791117072.77471566</v>
      </c>
      <c r="K10" s="13">
        <f>+'Flujo de efectivo ACTUAL'!K11</f>
        <v>791117072.77471566</v>
      </c>
      <c r="L10" s="13">
        <f>+'Flujo de efectivo ACTUAL'!L11</f>
        <v>791117072.77471566</v>
      </c>
      <c r="M10" s="13">
        <f>+'Flujo de efectivo ACTUAL'!M11</f>
        <v>791117072.77471566</v>
      </c>
      <c r="N10" s="13">
        <f>+'Flujo de efectivo ACTUAL'!N11</f>
        <v>791117072.77471566</v>
      </c>
      <c r="O10" s="13">
        <f>+'Flujo de efectivo ACTUAL'!O11</f>
        <v>791117072.77471566</v>
      </c>
      <c r="P10" s="13">
        <f>+'Flujo de efectivo ACTUAL'!P11</f>
        <v>791117072.77471566</v>
      </c>
    </row>
    <row r="11" spans="1:17" ht="15">
      <c r="D11" s="4" t="s">
        <v>0</v>
      </c>
      <c r="E11" s="89">
        <f>+'Flujo de efectivo ACTUAL'!E12</f>
        <v>0</v>
      </c>
      <c r="F11" s="4"/>
      <c r="G11" s="13">
        <f>+'Flujo de efectivo ACTUAL'!G12</f>
        <v>188428908</v>
      </c>
      <c r="H11" s="13">
        <f>+'Flujo de efectivo ACTUAL'!H12</f>
        <v>188428908</v>
      </c>
      <c r="I11" s="13">
        <f>+'Flujo de efectivo ACTUAL'!I12</f>
        <v>188428908</v>
      </c>
      <c r="J11" s="13">
        <f>+'Flujo de efectivo ACTUAL'!J12</f>
        <v>188428908</v>
      </c>
      <c r="K11" s="13">
        <f>+'Flujo de efectivo ACTUAL'!K12</f>
        <v>188428908</v>
      </c>
      <c r="L11" s="13">
        <f>+'Flujo de efectivo ACTUAL'!L12</f>
        <v>188428908</v>
      </c>
      <c r="M11" s="13">
        <f>+'Flujo de efectivo ACTUAL'!M12</f>
        <v>188428908</v>
      </c>
      <c r="N11" s="13">
        <f>+'Flujo de efectivo ACTUAL'!N12</f>
        <v>188428908</v>
      </c>
      <c r="O11" s="13">
        <f>+'Flujo de efectivo ACTUAL'!O12</f>
        <v>188428908</v>
      </c>
      <c r="P11" s="13">
        <f>+'Flujo de efectivo ACTUAL'!P12</f>
        <v>188428908</v>
      </c>
      <c r="Q11" s="10"/>
    </row>
    <row r="12" spans="1:17" ht="15">
      <c r="D12" s="4" t="s">
        <v>134</v>
      </c>
      <c r="F12" s="4"/>
      <c r="G12" s="13">
        <f>+'Flujo de efectivo ACTUAL'!G13</f>
        <v>28676400</v>
      </c>
      <c r="H12" s="13">
        <f>+'Flujo de efectivo ACTUAL'!H13</f>
        <v>28676400</v>
      </c>
      <c r="I12" s="13">
        <f>+'Flujo de efectivo ACTUAL'!I13</f>
        <v>28676400</v>
      </c>
      <c r="J12" s="13">
        <f>+'Flujo de efectivo ACTUAL'!J13</f>
        <v>28676400</v>
      </c>
      <c r="K12" s="13">
        <f>+'Flujo de efectivo ACTUAL'!K13</f>
        <v>28676400</v>
      </c>
      <c r="L12" s="13">
        <f>+'Flujo de efectivo ACTUAL'!L13</f>
        <v>28676400</v>
      </c>
      <c r="M12" s="13">
        <f>+'Flujo de efectivo ACTUAL'!M13</f>
        <v>28676400</v>
      </c>
      <c r="N12" s="13">
        <f>+'Flujo de efectivo ACTUAL'!N13</f>
        <v>28676400</v>
      </c>
      <c r="O12" s="13">
        <f>+'Flujo de efectivo ACTUAL'!O13</f>
        <v>28676400</v>
      </c>
      <c r="P12" s="13">
        <f>+'Flujo de efectivo ACTUAL'!P13</f>
        <v>28676400</v>
      </c>
      <c r="Q12" s="10"/>
    </row>
    <row r="13" spans="1:17" ht="15">
      <c r="G13" s="4"/>
      <c r="Q13" s="10"/>
    </row>
    <row r="14" spans="1:17" ht="15">
      <c r="D14" s="3" t="s">
        <v>135</v>
      </c>
      <c r="E14" s="4"/>
      <c r="F14" s="4"/>
      <c r="G14" s="14">
        <f>G6-G10-G11-G12</f>
        <v>14002817.363535643</v>
      </c>
      <c r="H14" s="14">
        <f>H6-H10-H11-H12</f>
        <v>14002817.363535643</v>
      </c>
      <c r="I14" s="14">
        <f t="shared" ref="I14:N14" si="4">I6-I10-I11-I12</f>
        <v>14002817.363535643</v>
      </c>
      <c r="J14" s="14">
        <f t="shared" si="4"/>
        <v>14002817.363535643</v>
      </c>
      <c r="K14" s="14">
        <f t="shared" si="4"/>
        <v>14002817.363535643</v>
      </c>
      <c r="L14" s="14">
        <f t="shared" si="4"/>
        <v>14002817.363535643</v>
      </c>
      <c r="M14" s="155">
        <f>M6-M10-M11-M12</f>
        <v>14002817.363535643</v>
      </c>
      <c r="N14" s="155">
        <f t="shared" si="4"/>
        <v>14002817.363535643</v>
      </c>
      <c r="O14" s="155">
        <f>O6-O10-O11-O12</f>
        <v>14002817.363535643</v>
      </c>
      <c r="P14" s="155">
        <f>P6-P10-P11-P12</f>
        <v>14002817.363535643</v>
      </c>
      <c r="Q14" s="10"/>
    </row>
    <row r="15" spans="1:17" ht="15">
      <c r="D15" s="4" t="s">
        <v>136</v>
      </c>
      <c r="E15" s="89">
        <v>0.25</v>
      </c>
      <c r="F15" s="74"/>
      <c r="G15" s="93">
        <f>+(G14*$E$15)</f>
        <v>3500704.3408839107</v>
      </c>
      <c r="H15" s="93">
        <f t="shared" ref="H15:P15" si="5">+(H14*$E$15)</f>
        <v>3500704.3408839107</v>
      </c>
      <c r="I15" s="93">
        <f t="shared" si="5"/>
        <v>3500704.3408839107</v>
      </c>
      <c r="J15" s="93">
        <f t="shared" si="5"/>
        <v>3500704.3408839107</v>
      </c>
      <c r="K15" s="93">
        <f t="shared" si="5"/>
        <v>3500704.3408839107</v>
      </c>
      <c r="L15" s="93">
        <f t="shared" si="5"/>
        <v>3500704.3408839107</v>
      </c>
      <c r="M15" s="151">
        <f t="shared" si="5"/>
        <v>3500704.3408839107</v>
      </c>
      <c r="N15" s="151">
        <f t="shared" si="5"/>
        <v>3500704.3408839107</v>
      </c>
      <c r="O15" s="151">
        <f t="shared" si="5"/>
        <v>3500704.3408839107</v>
      </c>
      <c r="P15" s="151">
        <f t="shared" si="5"/>
        <v>3500704.3408839107</v>
      </c>
    </row>
    <row r="16" spans="1:17" ht="15">
      <c r="M16" s="152"/>
      <c r="N16" s="152"/>
      <c r="O16" s="152"/>
      <c r="P16" s="152"/>
      <c r="Q16" s="10"/>
    </row>
    <row r="17" spans="1:17" ht="15">
      <c r="D17" s="3" t="s">
        <v>137</v>
      </c>
      <c r="E17" s="4"/>
      <c r="F17" s="4"/>
      <c r="G17" s="9">
        <f>G14-G15</f>
        <v>10502113.022651732</v>
      </c>
      <c r="H17" s="9">
        <f>H14-H15</f>
        <v>10502113.022651732</v>
      </c>
      <c r="I17" s="9">
        <f t="shared" ref="I17:P17" si="6">I14-I15</f>
        <v>10502113.022651732</v>
      </c>
      <c r="J17" s="9">
        <f>J14-J15</f>
        <v>10502113.022651732</v>
      </c>
      <c r="K17" s="9">
        <f t="shared" si="6"/>
        <v>10502113.022651732</v>
      </c>
      <c r="L17" s="9">
        <f t="shared" si="6"/>
        <v>10502113.022651732</v>
      </c>
      <c r="M17" s="101">
        <f t="shared" si="6"/>
        <v>10502113.022651732</v>
      </c>
      <c r="N17" s="101">
        <f t="shared" si="6"/>
        <v>10502113.022651732</v>
      </c>
      <c r="O17" s="101">
        <f t="shared" si="6"/>
        <v>10502113.022651732</v>
      </c>
      <c r="P17" s="101">
        <f t="shared" si="6"/>
        <v>10502113.022651732</v>
      </c>
      <c r="Q17" s="10"/>
    </row>
    <row r="18" spans="1:17" ht="15">
      <c r="M18" s="152"/>
      <c r="N18" s="152"/>
      <c r="O18" s="152"/>
      <c r="P18" s="152"/>
    </row>
    <row r="19" spans="1:17" ht="15">
      <c r="D19" s="4" t="s">
        <v>128</v>
      </c>
      <c r="E19" s="4"/>
      <c r="F19" s="4"/>
      <c r="G19" s="9">
        <f>+G12</f>
        <v>28676400</v>
      </c>
      <c r="H19" s="9">
        <f t="shared" ref="H19:P19" si="7">+H12</f>
        <v>28676400</v>
      </c>
      <c r="I19" s="9">
        <f t="shared" si="7"/>
        <v>28676400</v>
      </c>
      <c r="J19" s="9">
        <f t="shared" si="7"/>
        <v>28676400</v>
      </c>
      <c r="K19" s="9">
        <f t="shared" si="7"/>
        <v>28676400</v>
      </c>
      <c r="L19" s="9">
        <f t="shared" si="7"/>
        <v>28676400</v>
      </c>
      <c r="M19" s="9">
        <f t="shared" si="7"/>
        <v>28676400</v>
      </c>
      <c r="N19" s="9">
        <f t="shared" si="7"/>
        <v>28676400</v>
      </c>
      <c r="O19" s="9">
        <f t="shared" si="7"/>
        <v>28676400</v>
      </c>
      <c r="P19" s="9">
        <f t="shared" si="7"/>
        <v>28676400</v>
      </c>
      <c r="Q19" s="10"/>
    </row>
    <row r="20" spans="1:17" ht="15">
      <c r="D20" s="4" t="s">
        <v>138</v>
      </c>
      <c r="E20" s="4"/>
      <c r="F20" s="4"/>
      <c r="G20" s="29">
        <f>+'Flujo de efectivo ACTUAL'!G21</f>
        <v>24910528.802333247</v>
      </c>
      <c r="H20" s="29">
        <f>+'Flujo de efectivo ACTUAL'!H21</f>
        <v>24910528.802333247</v>
      </c>
      <c r="I20" s="29">
        <f>+'Flujo de efectivo ACTUAL'!I21</f>
        <v>24910528.802333247</v>
      </c>
      <c r="J20" s="29">
        <f>+'Flujo de efectivo ACTUAL'!J21</f>
        <v>24910528.802333247</v>
      </c>
      <c r="K20" s="29">
        <f>+'Flujo de efectivo ACTUAL'!K21</f>
        <v>24910528.802333247</v>
      </c>
      <c r="L20" s="29">
        <f>+'Flujo de efectivo ACTUAL'!L21</f>
        <v>24910528.802333247</v>
      </c>
      <c r="M20" s="29">
        <f>+'Flujo de efectivo ACTUAL'!M21</f>
        <v>24910528.802333247</v>
      </c>
      <c r="N20" s="29">
        <f>+'Flujo de efectivo ACTUAL'!N21</f>
        <v>24910528.802333247</v>
      </c>
      <c r="O20" s="29">
        <f>+'Flujo de efectivo ACTUAL'!O21</f>
        <v>24910528.802333247</v>
      </c>
      <c r="P20" s="29">
        <f>+'Flujo de efectivo ACTUAL'!P21</f>
        <v>24910528.802333247</v>
      </c>
    </row>
    <row r="21" spans="1:17" ht="15">
      <c r="D21" s="4" t="s">
        <v>139</v>
      </c>
      <c r="E21" s="4"/>
      <c r="F21" s="100">
        <f>-+G21</f>
        <v>-286764000</v>
      </c>
      <c r="G21" s="29">
        <f>(+Flujograma!B2+Flujograma!B16)*'Estado de Resultados'!D4</f>
        <v>286764000</v>
      </c>
      <c r="H21" s="29"/>
      <c r="I21" s="29"/>
      <c r="J21" s="29"/>
      <c r="K21" s="29"/>
      <c r="L21" s="29"/>
      <c r="M21" s="29"/>
      <c r="N21" s="29"/>
      <c r="O21" s="29"/>
      <c r="P21" s="29"/>
      <c r="Q21" s="10"/>
    </row>
    <row r="22" spans="1:17" ht="15">
      <c r="Q22" s="44"/>
    </row>
    <row r="23" spans="1:17" ht="15">
      <c r="D23" s="3" t="s">
        <v>140</v>
      </c>
      <c r="E23" s="4"/>
      <c r="F23" s="100">
        <f>+F21</f>
        <v>-286764000</v>
      </c>
      <c r="G23" s="101">
        <f>+G17+G19+G20</f>
        <v>64089041.824984983</v>
      </c>
      <c r="H23" s="101">
        <f t="shared" ref="H23:P23" si="8">+H17+H19+H20</f>
        <v>64089041.824984983</v>
      </c>
      <c r="I23" s="101">
        <f t="shared" si="8"/>
        <v>64089041.824984983</v>
      </c>
      <c r="J23" s="101">
        <f t="shared" si="8"/>
        <v>64089041.824984983</v>
      </c>
      <c r="K23" s="101">
        <f t="shared" si="8"/>
        <v>64089041.824984983</v>
      </c>
      <c r="L23" s="101">
        <f t="shared" si="8"/>
        <v>64089041.824984983</v>
      </c>
      <c r="M23" s="101">
        <f t="shared" si="8"/>
        <v>64089041.824984983</v>
      </c>
      <c r="N23" s="101">
        <f t="shared" si="8"/>
        <v>64089041.824984983</v>
      </c>
      <c r="O23" s="101">
        <f t="shared" si="8"/>
        <v>64089041.824984983</v>
      </c>
      <c r="P23" s="101">
        <f t="shared" si="8"/>
        <v>64089041.824984983</v>
      </c>
      <c r="Q23" s="44"/>
    </row>
    <row r="25" spans="1:17" ht="15.75">
      <c r="A25" s="137" t="s">
        <v>184</v>
      </c>
      <c r="E25" s="1"/>
      <c r="G25" s="135"/>
      <c r="H25" s="136"/>
      <c r="I25" s="136"/>
      <c r="J25" s="136"/>
      <c r="K25" s="136"/>
      <c r="L25" s="136"/>
      <c r="M25" s="136"/>
      <c r="N25" s="136"/>
      <c r="O25" s="136"/>
      <c r="P25" s="135"/>
      <c r="Q25" s="135"/>
    </row>
    <row r="27" spans="1:17" ht="15">
      <c r="A27" s="4" t="s">
        <v>176</v>
      </c>
      <c r="B27" s="29">
        <f>+'Flujo de Inversion simple'!B3</f>
        <v>4800000</v>
      </c>
    </row>
    <row r="28" spans="1:17" ht="15">
      <c r="A28" s="5" t="str">
        <f>+Inversion!A4</f>
        <v xml:space="preserve">Compra de aves </v>
      </c>
      <c r="B28" s="29">
        <f>+'Flujo de Inversion simple'!B4</f>
        <v>286764000</v>
      </c>
    </row>
    <row r="29" spans="1:17" ht="15">
      <c r="A29" s="5" t="s">
        <v>174</v>
      </c>
      <c r="B29" s="29">
        <f>+'Flujo de Inversion simple'!B5</f>
        <v>3000000</v>
      </c>
    </row>
    <row r="30" spans="1:17" ht="15">
      <c r="A30" s="88" t="s">
        <v>178</v>
      </c>
      <c r="B30" s="102">
        <f>(SUM(B27:B29))</f>
        <v>294564000</v>
      </c>
    </row>
    <row r="32" spans="1:17" ht="15">
      <c r="A32" s="224" t="s">
        <v>128</v>
      </c>
      <c r="B32" s="225"/>
    </row>
    <row r="33" spans="1:16" ht="15">
      <c r="A33" s="4" t="s">
        <v>179</v>
      </c>
      <c r="B33" s="29">
        <f>(B30/10)</f>
        <v>29456400</v>
      </c>
    </row>
    <row r="34" spans="1:16" ht="15">
      <c r="A34" s="5" t="s">
        <v>131</v>
      </c>
      <c r="B34" s="51">
        <f>((B27+B29)*0.1)</f>
        <v>780000</v>
      </c>
    </row>
    <row r="35" spans="1:16" ht="15">
      <c r="A35" s="107" t="s">
        <v>185</v>
      </c>
      <c r="B35" s="104">
        <f>+'Flujo de Inversion simple'!G21</f>
        <v>51400249.426009305</v>
      </c>
    </row>
    <row r="37" spans="1:16" ht="15.75">
      <c r="A37" s="230" t="s">
        <v>186</v>
      </c>
      <c r="B37" s="230"/>
      <c r="C37" s="230"/>
      <c r="D37" s="3" t="s">
        <v>119</v>
      </c>
      <c r="E37" s="4"/>
      <c r="F37" s="226" t="s">
        <v>120</v>
      </c>
      <c r="G37" s="226"/>
      <c r="H37" s="226"/>
      <c r="I37" s="226"/>
      <c r="J37" s="226"/>
      <c r="K37" s="226"/>
      <c r="L37" s="226"/>
      <c r="M37" s="226"/>
      <c r="N37" s="226"/>
      <c r="O37" s="226"/>
      <c r="P37" s="227"/>
    </row>
    <row r="38" spans="1:16" ht="15">
      <c r="D38" s="4"/>
      <c r="E38" s="18" t="s">
        <v>121</v>
      </c>
      <c r="F38" s="18">
        <v>0</v>
      </c>
      <c r="G38" s="178">
        <v>1</v>
      </c>
      <c r="H38" s="178">
        <v>2</v>
      </c>
      <c r="I38" s="178">
        <v>3</v>
      </c>
      <c r="J38" s="178">
        <v>4</v>
      </c>
      <c r="K38" s="178">
        <v>5</v>
      </c>
      <c r="L38" s="178">
        <v>6</v>
      </c>
      <c r="M38" s="178">
        <v>7</v>
      </c>
      <c r="N38" s="178">
        <v>8</v>
      </c>
      <c r="O38" s="186">
        <v>9</v>
      </c>
      <c r="P38" s="178">
        <v>10</v>
      </c>
    </row>
    <row r="39" spans="1:16" ht="15">
      <c r="D39" s="3" t="s">
        <v>123</v>
      </c>
      <c r="E39" s="4"/>
      <c r="F39" s="4"/>
      <c r="G39" s="25"/>
      <c r="H39" s="25"/>
      <c r="I39" s="25"/>
      <c r="J39" s="25"/>
      <c r="K39" s="25"/>
      <c r="L39" s="25"/>
      <c r="M39" s="25"/>
      <c r="N39" s="25"/>
      <c r="O39" s="195"/>
      <c r="P39" s="25"/>
    </row>
    <row r="40" spans="1:16" ht="15">
      <c r="D40" s="4" t="s">
        <v>177</v>
      </c>
      <c r="E40" s="103">
        <f>+'Flujo de Inversion simple'!E4</f>
        <v>0</v>
      </c>
      <c r="F40" s="4"/>
      <c r="G40" s="26">
        <f>+'Flujo de Inversion simple'!G4</f>
        <v>1300781.0084291231</v>
      </c>
      <c r="H40" s="26">
        <f>+(G40*$E$40)+G40</f>
        <v>1300781.0084291231</v>
      </c>
      <c r="I40" s="26">
        <f>+(H40*$E$40)+H40</f>
        <v>1300781.0084291231</v>
      </c>
      <c r="J40" s="26">
        <f t="shared" ref="J40:P40" si="9">+(I40*$E$40)+I40</f>
        <v>1300781.0084291231</v>
      </c>
      <c r="K40" s="26">
        <f t="shared" si="9"/>
        <v>1300781.0084291231</v>
      </c>
      <c r="L40" s="26">
        <f t="shared" si="9"/>
        <v>1300781.0084291231</v>
      </c>
      <c r="M40" s="26">
        <f t="shared" si="9"/>
        <v>1300781.0084291231</v>
      </c>
      <c r="N40" s="26">
        <f t="shared" si="9"/>
        <v>1300781.0084291231</v>
      </c>
      <c r="O40" s="26">
        <f t="shared" si="9"/>
        <v>1300781.0084291231</v>
      </c>
      <c r="P40" s="26">
        <f t="shared" si="9"/>
        <v>1300781.0084291231</v>
      </c>
    </row>
    <row r="41" spans="1:16" ht="15">
      <c r="D41" s="4" t="s">
        <v>126</v>
      </c>
      <c r="E41" s="103">
        <v>-0.01</v>
      </c>
      <c r="F41" s="4"/>
      <c r="G41" s="196">
        <f>+'Flujo de Inversion simple'!G5</f>
        <v>850</v>
      </c>
      <c r="H41" s="196">
        <f>+(G41*$E$41)+G41</f>
        <v>841.5</v>
      </c>
      <c r="I41" s="196">
        <f t="shared" ref="I41:P41" si="10">+(H41*$E$41)+H41</f>
        <v>833.08500000000004</v>
      </c>
      <c r="J41" s="196">
        <f t="shared" si="10"/>
        <v>824.75414999999998</v>
      </c>
      <c r="K41" s="196">
        <f t="shared" si="10"/>
        <v>816.50660849999997</v>
      </c>
      <c r="L41" s="196">
        <f t="shared" si="10"/>
        <v>808.34154241499994</v>
      </c>
      <c r="M41" s="196">
        <f t="shared" si="10"/>
        <v>800.25812699084997</v>
      </c>
      <c r="N41" s="196">
        <f t="shared" si="10"/>
        <v>792.25554572094143</v>
      </c>
      <c r="O41" s="196">
        <f t="shared" si="10"/>
        <v>784.33299026373197</v>
      </c>
      <c r="P41" s="196">
        <f t="shared" si="10"/>
        <v>776.48966036109471</v>
      </c>
    </row>
    <row r="42" spans="1:16" ht="15">
      <c r="D42" s="4"/>
      <c r="E42" s="103"/>
      <c r="F42" s="4"/>
      <c r="G42" s="196"/>
      <c r="H42" s="196"/>
      <c r="I42" s="196"/>
      <c r="J42" s="196"/>
      <c r="K42" s="196"/>
      <c r="L42" s="196"/>
      <c r="M42" s="196"/>
      <c r="N42" s="196"/>
      <c r="O42" s="196"/>
      <c r="P42" s="196"/>
    </row>
    <row r="43" spans="1:16" ht="15">
      <c r="D43" s="3" t="s">
        <v>127</v>
      </c>
      <c r="E43" s="103"/>
      <c r="F43" s="4"/>
      <c r="G43" s="196">
        <f>G40*G41</f>
        <v>1105663857.1647546</v>
      </c>
      <c r="H43" s="196">
        <f>H40*H41</f>
        <v>1094607218.593107</v>
      </c>
      <c r="I43" s="196">
        <f t="shared" ref="I43:P43" si="11">I40*I41</f>
        <v>1083661146.407176</v>
      </c>
      <c r="J43" s="196">
        <f t="shared" si="11"/>
        <v>1072824534.9431043</v>
      </c>
      <c r="K43" s="196">
        <f t="shared" si="11"/>
        <v>1062096289.5936731</v>
      </c>
      <c r="L43" s="196">
        <f t="shared" si="11"/>
        <v>1051475326.6977364</v>
      </c>
      <c r="M43" s="196">
        <f t="shared" si="11"/>
        <v>1040960573.4307591</v>
      </c>
      <c r="N43" s="196">
        <f t="shared" si="11"/>
        <v>1030550967.6964514</v>
      </c>
      <c r="O43" s="196">
        <f t="shared" si="11"/>
        <v>1020245458.0194869</v>
      </c>
      <c r="P43" s="196">
        <f t="shared" si="11"/>
        <v>1010043003.4392921</v>
      </c>
    </row>
    <row r="44" spans="1:16" ht="15">
      <c r="G44" s="172"/>
      <c r="H44" s="172"/>
      <c r="I44" s="172"/>
      <c r="J44" s="172"/>
      <c r="K44" s="172"/>
      <c r="L44" s="172"/>
      <c r="M44" s="172"/>
      <c r="N44" s="172"/>
      <c r="O44" s="172"/>
      <c r="P44" s="172"/>
    </row>
    <row r="45" spans="1:16" ht="15">
      <c r="D45" s="3" t="s">
        <v>130</v>
      </c>
      <c r="E45" s="4"/>
      <c r="F45" s="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15">
      <c r="D46" s="4" t="s">
        <v>132</v>
      </c>
      <c r="E46" s="103">
        <v>0</v>
      </c>
      <c r="F46" s="88"/>
      <c r="G46" s="197">
        <f>+'Flujo de Inversion simple'!G10</f>
        <v>615.21586835080018</v>
      </c>
      <c r="H46" s="196">
        <f>(G46*$E$46)+G46</f>
        <v>615.21586835080018</v>
      </c>
      <c r="I46" s="196">
        <f t="shared" ref="I46:P46" si="12">(H46*$E$46)+H46</f>
        <v>615.21586835080018</v>
      </c>
      <c r="J46" s="196">
        <f t="shared" si="12"/>
        <v>615.21586835080018</v>
      </c>
      <c r="K46" s="196">
        <f t="shared" si="12"/>
        <v>615.21586835080018</v>
      </c>
      <c r="L46" s="196">
        <f t="shared" si="12"/>
        <v>615.21586835080018</v>
      </c>
      <c r="M46" s="196">
        <f t="shared" si="12"/>
        <v>615.21586835080018</v>
      </c>
      <c r="N46" s="196">
        <f t="shared" si="12"/>
        <v>615.21586835080018</v>
      </c>
      <c r="O46" s="196">
        <f t="shared" si="12"/>
        <v>615.21586835080018</v>
      </c>
      <c r="P46" s="196">
        <f t="shared" si="12"/>
        <v>615.21586835080018</v>
      </c>
    </row>
    <row r="47" spans="1:16" ht="15">
      <c r="D47" s="4" t="s">
        <v>133</v>
      </c>
      <c r="E47" s="103">
        <v>0</v>
      </c>
      <c r="F47" s="88"/>
      <c r="G47" s="197">
        <f>+'Flujo de Inversion simple'!G11</f>
        <v>800261117.63495243</v>
      </c>
      <c r="H47" s="197">
        <f>+(G47*$E$47)+G47</f>
        <v>800261117.63495243</v>
      </c>
      <c r="I47" s="197">
        <f t="shared" ref="I47:P47" si="13">+(H47*$E$47)+H47</f>
        <v>800261117.63495243</v>
      </c>
      <c r="J47" s="197">
        <f t="shared" si="13"/>
        <v>800261117.63495243</v>
      </c>
      <c r="K47" s="197">
        <f t="shared" si="13"/>
        <v>800261117.63495243</v>
      </c>
      <c r="L47" s="197">
        <f t="shared" si="13"/>
        <v>800261117.63495243</v>
      </c>
      <c r="M47" s="197">
        <f t="shared" si="13"/>
        <v>800261117.63495243</v>
      </c>
      <c r="N47" s="197">
        <f t="shared" si="13"/>
        <v>800261117.63495243</v>
      </c>
      <c r="O47" s="197">
        <f t="shared" si="13"/>
        <v>800261117.63495243</v>
      </c>
      <c r="P47" s="197">
        <f t="shared" si="13"/>
        <v>800261117.63495243</v>
      </c>
    </row>
    <row r="48" spans="1:16" ht="15">
      <c r="D48" s="4" t="s">
        <v>0</v>
      </c>
      <c r="E48" s="103">
        <v>0</v>
      </c>
      <c r="F48" s="88"/>
      <c r="G48" s="197">
        <f>+'Flujo de Inversion simple'!G12</f>
        <v>177091200</v>
      </c>
      <c r="H48" s="197">
        <f>+(G48*$E$48)+G48</f>
        <v>177091200</v>
      </c>
      <c r="I48" s="197">
        <f t="shared" ref="I48:P48" si="14">+(H48*$E$48)+H48</f>
        <v>177091200</v>
      </c>
      <c r="J48" s="197">
        <f t="shared" si="14"/>
        <v>177091200</v>
      </c>
      <c r="K48" s="197">
        <f t="shared" si="14"/>
        <v>177091200</v>
      </c>
      <c r="L48" s="197">
        <f t="shared" si="14"/>
        <v>177091200</v>
      </c>
      <c r="M48" s="197">
        <f t="shared" si="14"/>
        <v>177091200</v>
      </c>
      <c r="N48" s="197">
        <f t="shared" si="14"/>
        <v>177091200</v>
      </c>
      <c r="O48" s="197">
        <f t="shared" si="14"/>
        <v>177091200</v>
      </c>
      <c r="P48" s="197">
        <f t="shared" si="14"/>
        <v>177091200</v>
      </c>
    </row>
    <row r="49" spans="4:16" ht="15">
      <c r="D49" s="4" t="s">
        <v>134</v>
      </c>
      <c r="E49" s="73"/>
      <c r="F49" s="88"/>
      <c r="G49" s="197">
        <f>+B33</f>
        <v>29456400</v>
      </c>
      <c r="H49" s="197">
        <f>+$G$49</f>
        <v>29456400</v>
      </c>
      <c r="I49" s="197">
        <f t="shared" ref="I49:P49" si="15">+$G$49</f>
        <v>29456400</v>
      </c>
      <c r="J49" s="197">
        <f t="shared" si="15"/>
        <v>29456400</v>
      </c>
      <c r="K49" s="197">
        <f t="shared" si="15"/>
        <v>29456400</v>
      </c>
      <c r="L49" s="197">
        <f t="shared" si="15"/>
        <v>29456400</v>
      </c>
      <c r="M49" s="197">
        <f t="shared" si="15"/>
        <v>29456400</v>
      </c>
      <c r="N49" s="197">
        <f t="shared" si="15"/>
        <v>29456400</v>
      </c>
      <c r="O49" s="197">
        <f t="shared" si="15"/>
        <v>29456400</v>
      </c>
      <c r="P49" s="197">
        <f t="shared" si="15"/>
        <v>29456400</v>
      </c>
    </row>
    <row r="50" spans="4:16" ht="15">
      <c r="G50" s="172"/>
      <c r="H50" s="172"/>
      <c r="I50" s="172"/>
      <c r="J50" s="172"/>
      <c r="K50" s="172"/>
      <c r="L50" s="172"/>
      <c r="M50" s="172"/>
      <c r="N50" s="172"/>
      <c r="O50" s="172"/>
      <c r="P50" s="172"/>
    </row>
    <row r="51" spans="4:16" ht="15">
      <c r="D51" s="3" t="s">
        <v>135</v>
      </c>
      <c r="E51" s="4"/>
      <c r="F51" s="4"/>
      <c r="G51" s="196">
        <f>+G43-G46-G47-G48-G49</f>
        <v>98854524.313933969</v>
      </c>
      <c r="H51" s="196">
        <f>(H43-H46-H47-H48-H49)</f>
        <v>87797885.742286325</v>
      </c>
      <c r="I51" s="196">
        <f t="shared" ref="I51:P51" si="16">(I43-I46-I47-I48-I49)</f>
        <v>76851813.556355357</v>
      </c>
      <c r="J51" s="196">
        <f t="shared" si="16"/>
        <v>66015202.092283487</v>
      </c>
      <c r="K51" s="196">
        <f t="shared" si="16"/>
        <v>55286956.74285233</v>
      </c>
      <c r="L51" s="196">
        <f t="shared" si="16"/>
        <v>44665993.846915603</v>
      </c>
      <c r="M51" s="196">
        <f t="shared" si="16"/>
        <v>34151240.579938293</v>
      </c>
      <c r="N51" s="198">
        <f>(N43-N46-N47-N48-N49)</f>
        <v>23741634.845630646</v>
      </c>
      <c r="O51" s="198">
        <f t="shared" si="16"/>
        <v>13436125.168666124</v>
      </c>
      <c r="P51" s="198">
        <f t="shared" si="16"/>
        <v>3233670.5884712934</v>
      </c>
    </row>
    <row r="52" spans="4:16" ht="15">
      <c r="D52" s="4" t="s">
        <v>136</v>
      </c>
      <c r="E52" s="89">
        <v>0.25</v>
      </c>
      <c r="F52" s="4"/>
      <c r="G52" s="196">
        <f>+G51*$E$52</f>
        <v>24713631.078483492</v>
      </c>
      <c r="H52" s="196">
        <f>+H51*$E$52</f>
        <v>21949471.435571581</v>
      </c>
      <c r="I52" s="196">
        <f t="shared" ref="I52:P52" si="17">+I51*$E$52</f>
        <v>19212953.389088839</v>
      </c>
      <c r="J52" s="196">
        <f t="shared" si="17"/>
        <v>16503800.523070872</v>
      </c>
      <c r="K52" s="196">
        <f t="shared" si="17"/>
        <v>13821739.185713083</v>
      </c>
      <c r="L52" s="196">
        <f t="shared" si="17"/>
        <v>11166498.461728901</v>
      </c>
      <c r="M52" s="196">
        <f t="shared" si="17"/>
        <v>8537810.1449845731</v>
      </c>
      <c r="N52" s="198">
        <f t="shared" si="17"/>
        <v>5935408.7114076614</v>
      </c>
      <c r="O52" s="198">
        <f t="shared" si="17"/>
        <v>3359031.2921665311</v>
      </c>
      <c r="P52" s="198">
        <f t="shared" si="17"/>
        <v>808417.64711782336</v>
      </c>
    </row>
    <row r="53" spans="4:16" ht="15">
      <c r="G53" s="172"/>
      <c r="H53" s="172"/>
      <c r="I53" s="172"/>
      <c r="J53" s="172"/>
      <c r="K53" s="172"/>
      <c r="L53" s="172"/>
      <c r="M53" s="172"/>
      <c r="N53" s="199"/>
      <c r="O53" s="199"/>
      <c r="P53" s="199"/>
    </row>
    <row r="54" spans="4:16" ht="15">
      <c r="D54" s="3" t="s">
        <v>137</v>
      </c>
      <c r="E54" s="4"/>
      <c r="F54" s="4"/>
      <c r="G54" s="196">
        <f>G51-G52</f>
        <v>74140893.235450476</v>
      </c>
      <c r="H54" s="196">
        <f t="shared" ref="H54:P54" si="18">H51-H52</f>
        <v>65848414.306714743</v>
      </c>
      <c r="I54" s="196">
        <f t="shared" si="18"/>
        <v>57638860.167266518</v>
      </c>
      <c r="J54" s="196">
        <f t="shared" si="18"/>
        <v>49511401.569212615</v>
      </c>
      <c r="K54" s="196">
        <f t="shared" si="18"/>
        <v>41465217.557139248</v>
      </c>
      <c r="L54" s="196">
        <f>L51-L52</f>
        <v>33499495.385186702</v>
      </c>
      <c r="M54" s="196">
        <f t="shared" si="18"/>
        <v>25613430.434953719</v>
      </c>
      <c r="N54" s="198">
        <f t="shared" si="18"/>
        <v>17806226.134222984</v>
      </c>
      <c r="O54" s="198">
        <f t="shared" si="18"/>
        <v>10077093.876499593</v>
      </c>
      <c r="P54" s="198">
        <f t="shared" si="18"/>
        <v>2425252.9413534701</v>
      </c>
    </row>
    <row r="55" spans="4:16" ht="15">
      <c r="G55" s="172"/>
      <c r="H55" s="172"/>
      <c r="I55" s="172"/>
      <c r="J55" s="172"/>
      <c r="K55" s="172"/>
      <c r="L55" s="172"/>
      <c r="M55" s="172"/>
      <c r="N55" s="172"/>
      <c r="O55" s="172"/>
      <c r="P55" s="172"/>
    </row>
    <row r="56" spans="4:16" ht="15">
      <c r="D56" s="4" t="s">
        <v>128</v>
      </c>
      <c r="E56" s="4"/>
      <c r="F56" s="4"/>
      <c r="G56" s="196">
        <f>+-F58</f>
        <v>294564000</v>
      </c>
      <c r="H56" s="196">
        <f>+$G$56</f>
        <v>294564000</v>
      </c>
      <c r="I56" s="196">
        <f t="shared" ref="I56:P56" si="19">+$G$56</f>
        <v>294564000</v>
      </c>
      <c r="J56" s="196">
        <f t="shared" si="19"/>
        <v>294564000</v>
      </c>
      <c r="K56" s="196">
        <f t="shared" si="19"/>
        <v>294564000</v>
      </c>
      <c r="L56" s="196">
        <f t="shared" si="19"/>
        <v>294564000</v>
      </c>
      <c r="M56" s="196">
        <f t="shared" si="19"/>
        <v>294564000</v>
      </c>
      <c r="N56" s="196">
        <f t="shared" si="19"/>
        <v>294564000</v>
      </c>
      <c r="O56" s="196">
        <f t="shared" si="19"/>
        <v>294564000</v>
      </c>
      <c r="P56" s="196">
        <f t="shared" si="19"/>
        <v>294564000</v>
      </c>
    </row>
    <row r="57" spans="4:16" ht="15">
      <c r="D57" s="4" t="s">
        <v>138</v>
      </c>
      <c r="E57" s="4"/>
      <c r="F57" s="4"/>
      <c r="G57" s="196">
        <f>+'Flujo de Inversion simple'!G21</f>
        <v>51400249.426009305</v>
      </c>
      <c r="H57" s="196">
        <f>+'Flujo de Inversion simple'!H21</f>
        <v>51400249.426009305</v>
      </c>
      <c r="I57" s="196">
        <f>+'Flujo de Inversion simple'!I21</f>
        <v>51400249.426009305</v>
      </c>
      <c r="J57" s="196">
        <f>+'Flujo de Inversion simple'!J21</f>
        <v>51400249.426009305</v>
      </c>
      <c r="K57" s="196">
        <f>+'Flujo de Inversion simple'!K21</f>
        <v>51400249.426009305</v>
      </c>
      <c r="L57" s="196">
        <f>+'Flujo de Inversion simple'!L21</f>
        <v>51400249.426009305</v>
      </c>
      <c r="M57" s="196">
        <f>+'Flujo de Inversion simple'!M21</f>
        <v>51400249.426009305</v>
      </c>
      <c r="N57" s="196">
        <f>+'Flujo de Inversion simple'!N21</f>
        <v>51400249.426009305</v>
      </c>
      <c r="O57" s="196">
        <f>+'Flujo de Inversion simple'!O21</f>
        <v>51400249.426009305</v>
      </c>
      <c r="P57" s="196">
        <f>+'Flujo de Inversion simple'!P21+B34</f>
        <v>52180249.426009305</v>
      </c>
    </row>
    <row r="58" spans="4:16" ht="15">
      <c r="D58" s="4" t="s">
        <v>139</v>
      </c>
      <c r="E58" s="4"/>
      <c r="F58" s="105">
        <f>-B30</f>
        <v>-294564000</v>
      </c>
      <c r="G58" s="196"/>
      <c r="H58" s="196"/>
      <c r="I58" s="196"/>
      <c r="J58" s="196"/>
      <c r="K58" s="196"/>
      <c r="L58" s="196"/>
      <c r="M58" s="196"/>
      <c r="N58" s="196"/>
      <c r="O58" s="196"/>
      <c r="P58" s="196"/>
    </row>
    <row r="59" spans="4:16" ht="15">
      <c r="F59" s="106"/>
      <c r="G59" s="172"/>
      <c r="H59" s="172"/>
      <c r="I59" s="172"/>
      <c r="J59" s="172"/>
      <c r="K59" s="172"/>
      <c r="L59" s="172"/>
      <c r="M59" s="172"/>
      <c r="N59" s="172"/>
      <c r="O59" s="172"/>
      <c r="P59" s="172"/>
    </row>
    <row r="60" spans="4:16" ht="15">
      <c r="D60" s="3" t="s">
        <v>140</v>
      </c>
      <c r="E60" s="4"/>
      <c r="F60" s="105">
        <f>+F58</f>
        <v>-294564000</v>
      </c>
      <c r="G60" s="196">
        <f>G54+G56+G57</f>
        <v>420105142.6614598</v>
      </c>
      <c r="H60" s="196">
        <f t="shared" ref="H60:O60" si="20">H54+H56+H57</f>
        <v>411812663.73272407</v>
      </c>
      <c r="I60" s="196">
        <f t="shared" si="20"/>
        <v>403603109.59327579</v>
      </c>
      <c r="J60" s="196">
        <f t="shared" si="20"/>
        <v>395475650.99522191</v>
      </c>
      <c r="K60" s="196">
        <f t="shared" si="20"/>
        <v>387429466.98314857</v>
      </c>
      <c r="L60" s="196">
        <f t="shared" si="20"/>
        <v>379463744.81119597</v>
      </c>
      <c r="M60" s="196">
        <f t="shared" si="20"/>
        <v>371577679.86096299</v>
      </c>
      <c r="N60" s="196">
        <f t="shared" si="20"/>
        <v>363770475.56023228</v>
      </c>
      <c r="O60" s="196">
        <f t="shared" si="20"/>
        <v>356041343.30250889</v>
      </c>
      <c r="P60" s="196">
        <f>P54+P56+P57</f>
        <v>349169502.36736274</v>
      </c>
    </row>
    <row r="64" spans="4:16" ht="15.75">
      <c r="D64" s="231" t="s">
        <v>187</v>
      </c>
      <c r="E64" s="231"/>
      <c r="F64" s="231"/>
      <c r="G64" s="192">
        <v>1</v>
      </c>
      <c r="H64" s="192">
        <v>2</v>
      </c>
      <c r="I64" s="192">
        <v>3</v>
      </c>
      <c r="J64" s="192">
        <v>4</v>
      </c>
      <c r="K64" s="192">
        <v>5</v>
      </c>
      <c r="L64" s="192">
        <v>6</v>
      </c>
      <c r="M64" s="192">
        <v>7</v>
      </c>
      <c r="N64" s="192">
        <v>8</v>
      </c>
      <c r="O64" s="192">
        <v>9</v>
      </c>
      <c r="P64" s="192">
        <v>10</v>
      </c>
    </row>
    <row r="65" spans="4:16" ht="15">
      <c r="D65" s="133" t="s">
        <v>188</v>
      </c>
      <c r="E65" s="133" t="s">
        <v>188</v>
      </c>
      <c r="F65" s="192"/>
    </row>
    <row r="66" spans="4:16" ht="15">
      <c r="D66" s="232" t="s">
        <v>189</v>
      </c>
      <c r="E66" s="232"/>
      <c r="F66" s="232"/>
      <c r="G66" s="193">
        <f t="shared" ref="G66:P66" si="21">+G43-G6</f>
        <v>83438659.026503325</v>
      </c>
      <c r="H66" s="193">
        <f t="shared" si="21"/>
        <v>72382020.45485568</v>
      </c>
      <c r="I66" s="193">
        <f t="shared" si="21"/>
        <v>61435948.268924713</v>
      </c>
      <c r="J66" s="193">
        <f t="shared" si="21"/>
        <v>50599336.804852962</v>
      </c>
      <c r="K66" s="193">
        <f t="shared" si="21"/>
        <v>39871091.455421805</v>
      </c>
      <c r="L66" s="193">
        <f t="shared" si="21"/>
        <v>29250128.559485078</v>
      </c>
      <c r="M66" s="193">
        <f t="shared" si="21"/>
        <v>18735375.292507768</v>
      </c>
      <c r="N66" s="193">
        <f t="shared" si="21"/>
        <v>8325769.5582001209</v>
      </c>
      <c r="O66" s="193">
        <f t="shared" si="21"/>
        <v>-1979740.1187644005</v>
      </c>
      <c r="P66" s="193">
        <f t="shared" si="21"/>
        <v>-12182194.698959231</v>
      </c>
    </row>
    <row r="67" spans="4:16" ht="15">
      <c r="D67" s="232" t="s">
        <v>190</v>
      </c>
      <c r="E67" s="232"/>
      <c r="F67" s="232"/>
      <c r="G67" s="193">
        <f t="shared" ref="G67:P67" si="22">+G47-G10</f>
        <v>9144044.860236764</v>
      </c>
      <c r="H67" s="193">
        <f t="shared" si="22"/>
        <v>9144044.860236764</v>
      </c>
      <c r="I67" s="193">
        <f t="shared" si="22"/>
        <v>9144044.860236764</v>
      </c>
      <c r="J67" s="193">
        <f t="shared" si="22"/>
        <v>9144044.860236764</v>
      </c>
      <c r="K67" s="193">
        <f t="shared" si="22"/>
        <v>9144044.860236764</v>
      </c>
      <c r="L67" s="193">
        <f t="shared" si="22"/>
        <v>9144044.860236764</v>
      </c>
      <c r="M67" s="193">
        <f t="shared" si="22"/>
        <v>9144044.860236764</v>
      </c>
      <c r="N67" s="193">
        <f t="shared" si="22"/>
        <v>9144044.860236764</v>
      </c>
      <c r="O67" s="193">
        <f t="shared" si="22"/>
        <v>9144044.860236764</v>
      </c>
      <c r="P67" s="193">
        <f t="shared" si="22"/>
        <v>9144044.860236764</v>
      </c>
    </row>
    <row r="68" spans="4:16" ht="15">
      <c r="D68" s="232" t="s">
        <v>191</v>
      </c>
      <c r="E68" s="232"/>
      <c r="F68" s="232"/>
      <c r="G68" s="193">
        <f t="shared" ref="G68:P68" si="23">+G48-G11</f>
        <v>-11337708</v>
      </c>
      <c r="H68" s="193">
        <f t="shared" si="23"/>
        <v>-11337708</v>
      </c>
      <c r="I68" s="193">
        <f t="shared" si="23"/>
        <v>-11337708</v>
      </c>
      <c r="J68" s="193">
        <f t="shared" si="23"/>
        <v>-11337708</v>
      </c>
      <c r="K68" s="193">
        <f t="shared" si="23"/>
        <v>-11337708</v>
      </c>
      <c r="L68" s="193">
        <f t="shared" si="23"/>
        <v>-11337708</v>
      </c>
      <c r="M68" s="193">
        <f t="shared" si="23"/>
        <v>-11337708</v>
      </c>
      <c r="N68" s="193">
        <f t="shared" si="23"/>
        <v>-11337708</v>
      </c>
      <c r="O68" s="193">
        <f t="shared" si="23"/>
        <v>-11337708</v>
      </c>
      <c r="P68" s="193">
        <f t="shared" si="23"/>
        <v>-11337708</v>
      </c>
    </row>
    <row r="69" spans="4:16" ht="15">
      <c r="D69" s="232" t="s">
        <v>192</v>
      </c>
      <c r="E69" s="232"/>
      <c r="F69" s="232"/>
      <c r="G69" s="193">
        <f t="shared" ref="G69:P69" si="24">+G49-G12</f>
        <v>780000</v>
      </c>
      <c r="H69" s="193">
        <f t="shared" si="24"/>
        <v>780000</v>
      </c>
      <c r="I69" s="193">
        <f t="shared" si="24"/>
        <v>780000</v>
      </c>
      <c r="J69" s="193">
        <f t="shared" si="24"/>
        <v>780000</v>
      </c>
      <c r="K69" s="193">
        <f t="shared" si="24"/>
        <v>780000</v>
      </c>
      <c r="L69" s="193">
        <f t="shared" si="24"/>
        <v>780000</v>
      </c>
      <c r="M69" s="193">
        <f t="shared" si="24"/>
        <v>780000</v>
      </c>
      <c r="N69" s="193">
        <f t="shared" si="24"/>
        <v>780000</v>
      </c>
      <c r="O69" s="193">
        <f t="shared" si="24"/>
        <v>780000</v>
      </c>
      <c r="P69" s="193">
        <f t="shared" si="24"/>
        <v>780000</v>
      </c>
    </row>
    <row r="70" spans="4:16" ht="15">
      <c r="D70" s="229" t="s">
        <v>193</v>
      </c>
      <c r="E70" s="229"/>
      <c r="F70" s="229"/>
      <c r="G70" s="191">
        <f>+G66-G67-G68-G69</f>
        <v>84852322.166266561</v>
      </c>
      <c r="H70" s="191">
        <f t="shared" ref="H70:P70" si="25">+H66-H67-H68-H69</f>
        <v>73795683.594618917</v>
      </c>
      <c r="I70" s="191">
        <f t="shared" si="25"/>
        <v>62849611.408687949</v>
      </c>
      <c r="J70" s="191">
        <f t="shared" si="25"/>
        <v>52012999.944616199</v>
      </c>
      <c r="K70" s="191">
        <f t="shared" si="25"/>
        <v>41284754.595185041</v>
      </c>
      <c r="L70" s="191">
        <f t="shared" si="25"/>
        <v>30663791.699248314</v>
      </c>
      <c r="M70" s="191">
        <f t="shared" si="25"/>
        <v>20149038.432271004</v>
      </c>
      <c r="N70" s="191">
        <f t="shared" si="25"/>
        <v>9739432.697963357</v>
      </c>
      <c r="O70" s="191">
        <f t="shared" si="25"/>
        <v>-566076.97900116444</v>
      </c>
      <c r="P70" s="191">
        <f t="shared" si="25"/>
        <v>-10768531.559195995</v>
      </c>
    </row>
    <row r="71" spans="4:16" ht="15">
      <c r="D71" s="232" t="s">
        <v>194</v>
      </c>
      <c r="E71" s="232"/>
      <c r="F71" s="232"/>
      <c r="G71" s="193">
        <f>+G70*$E$52</f>
        <v>21213080.54156664</v>
      </c>
      <c r="H71" s="193">
        <f t="shared" ref="H71:P71" si="26">+H70*$E$52</f>
        <v>18448920.898654729</v>
      </c>
      <c r="I71" s="193">
        <f t="shared" si="26"/>
        <v>15712402.852171987</v>
      </c>
      <c r="J71" s="193">
        <f t="shared" si="26"/>
        <v>13003249.98615405</v>
      </c>
      <c r="K71" s="193">
        <f t="shared" si="26"/>
        <v>10321188.64879626</v>
      </c>
      <c r="L71" s="193">
        <f t="shared" si="26"/>
        <v>7665947.9248120785</v>
      </c>
      <c r="M71" s="193">
        <f t="shared" si="26"/>
        <v>5037259.6080677509</v>
      </c>
      <c r="N71" s="193">
        <f t="shared" si="26"/>
        <v>2434858.1744908392</v>
      </c>
      <c r="O71" s="193">
        <f t="shared" si="26"/>
        <v>-141519.24475029111</v>
      </c>
      <c r="P71" s="193">
        <f t="shared" si="26"/>
        <v>-2692132.8897989988</v>
      </c>
    </row>
    <row r="72" spans="4:16" ht="15">
      <c r="D72" s="229" t="s">
        <v>195</v>
      </c>
      <c r="E72" s="229"/>
      <c r="F72" s="229"/>
      <c r="G72" s="191">
        <f>+G70-G71</f>
        <v>63639241.62469992</v>
      </c>
      <c r="H72" s="191">
        <f t="shared" ref="H72:P72" si="27">+H70-H71</f>
        <v>55346762.695964187</v>
      </c>
      <c r="I72" s="191">
        <f t="shared" si="27"/>
        <v>47137208.556515962</v>
      </c>
      <c r="J72" s="191">
        <f t="shared" si="27"/>
        <v>39009749.958462149</v>
      </c>
      <c r="K72" s="191">
        <f t="shared" si="27"/>
        <v>30963565.946388781</v>
      </c>
      <c r="L72" s="191">
        <f t="shared" si="27"/>
        <v>22997843.774436235</v>
      </c>
      <c r="M72" s="191">
        <f t="shared" si="27"/>
        <v>15111778.824203253</v>
      </c>
      <c r="N72" s="191">
        <f t="shared" si="27"/>
        <v>7304574.5234725177</v>
      </c>
      <c r="O72" s="191">
        <f t="shared" si="27"/>
        <v>-424557.73425087333</v>
      </c>
      <c r="P72" s="191">
        <f t="shared" si="27"/>
        <v>-8076398.6693969965</v>
      </c>
    </row>
    <row r="73" spans="4:16" ht="15">
      <c r="D73" s="232" t="s">
        <v>196</v>
      </c>
      <c r="E73" s="232"/>
      <c r="F73" s="232"/>
      <c r="G73" s="193">
        <f>+G69</f>
        <v>780000</v>
      </c>
      <c r="H73" s="193">
        <f t="shared" ref="H73:P73" si="28">+H69</f>
        <v>780000</v>
      </c>
      <c r="I73" s="193">
        <f t="shared" si="28"/>
        <v>780000</v>
      </c>
      <c r="J73" s="193">
        <f t="shared" si="28"/>
        <v>780000</v>
      </c>
      <c r="K73" s="193">
        <f t="shared" si="28"/>
        <v>780000</v>
      </c>
      <c r="L73" s="193">
        <f t="shared" si="28"/>
        <v>780000</v>
      </c>
      <c r="M73" s="193">
        <f t="shared" si="28"/>
        <v>780000</v>
      </c>
      <c r="N73" s="193">
        <f t="shared" si="28"/>
        <v>780000</v>
      </c>
      <c r="O73" s="193">
        <f t="shared" si="28"/>
        <v>780000</v>
      </c>
      <c r="P73" s="193">
        <f t="shared" si="28"/>
        <v>780000</v>
      </c>
    </row>
    <row r="74" spans="4:16" ht="15">
      <c r="D74" s="229" t="s">
        <v>197</v>
      </c>
      <c r="E74" s="229"/>
      <c r="F74" s="229"/>
      <c r="G74" s="193">
        <f>+G57-G20</f>
        <v>26489720.623676058</v>
      </c>
      <c r="H74" s="193">
        <f t="shared" ref="H74:P74" si="29">+H57-H20</f>
        <v>26489720.623676058</v>
      </c>
      <c r="I74" s="193">
        <f t="shared" si="29"/>
        <v>26489720.623676058</v>
      </c>
      <c r="J74" s="193">
        <f t="shared" si="29"/>
        <v>26489720.623676058</v>
      </c>
      <c r="K74" s="193">
        <f t="shared" si="29"/>
        <v>26489720.623676058</v>
      </c>
      <c r="L74" s="193">
        <f t="shared" si="29"/>
        <v>26489720.623676058</v>
      </c>
      <c r="M74" s="193">
        <f t="shared" si="29"/>
        <v>26489720.623676058</v>
      </c>
      <c r="N74" s="193">
        <f t="shared" si="29"/>
        <v>26489720.623676058</v>
      </c>
      <c r="O74" s="193">
        <f t="shared" si="29"/>
        <v>26489720.623676058</v>
      </c>
      <c r="P74" s="193">
        <f t="shared" si="29"/>
        <v>27269720.623676058</v>
      </c>
    </row>
    <row r="75" spans="4:16" ht="15">
      <c r="D75" s="179" t="s">
        <v>198</v>
      </c>
      <c r="E75" s="179"/>
      <c r="F75" s="194">
        <f>+-B30</f>
        <v>-294564000</v>
      </c>
      <c r="G75" s="191">
        <f>+G72+G73+G74</f>
        <v>90908962.248375982</v>
      </c>
      <c r="H75" s="191">
        <f t="shared" ref="H75:P75" si="30">+H72+H73+H74</f>
        <v>82616483.319640249</v>
      </c>
      <c r="I75" s="191">
        <f t="shared" si="30"/>
        <v>74406929.180192024</v>
      </c>
      <c r="J75" s="191">
        <f>+J72+J73+J74</f>
        <v>66279470.582138211</v>
      </c>
      <c r="K75" s="191">
        <f t="shared" si="30"/>
        <v>58233286.570064843</v>
      </c>
      <c r="L75" s="191">
        <f t="shared" si="30"/>
        <v>50267564.398112297</v>
      </c>
      <c r="M75" s="191">
        <f t="shared" si="30"/>
        <v>42381499.447879314</v>
      </c>
      <c r="N75" s="191">
        <f t="shared" si="30"/>
        <v>34574295.147148579</v>
      </c>
      <c r="O75" s="191">
        <f t="shared" si="30"/>
        <v>26845162.889425185</v>
      </c>
      <c r="P75" s="191">
        <f t="shared" si="30"/>
        <v>19973321.954279061</v>
      </c>
    </row>
    <row r="78" spans="4:16" ht="15">
      <c r="D78" s="234" t="s">
        <v>199</v>
      </c>
      <c r="E78" s="235"/>
      <c r="F78" s="235"/>
      <c r="G78" s="235"/>
      <c r="H78" s="141"/>
      <c r="I78" s="141"/>
      <c r="J78" s="141"/>
      <c r="K78" s="141"/>
      <c r="L78" s="141"/>
      <c r="M78" s="141"/>
      <c r="N78" s="141"/>
      <c r="O78" s="141"/>
      <c r="P78" s="142"/>
    </row>
    <row r="79" spans="4:16" ht="15.75">
      <c r="D79" s="150" t="s">
        <v>200</v>
      </c>
      <c r="F79" s="168">
        <f>+F75</f>
        <v>-294564000</v>
      </c>
      <c r="G79" s="168">
        <f>+F79+G75</f>
        <v>-203655037.75162402</v>
      </c>
      <c r="H79" s="168">
        <f t="shared" ref="H79:P79" si="31">+G79+H75</f>
        <v>-121038554.43198377</v>
      </c>
      <c r="I79" s="168">
        <f t="shared" si="31"/>
        <v>-46631625.251791745</v>
      </c>
      <c r="J79" s="168">
        <f>+I79+J75</f>
        <v>19647845.330346465</v>
      </c>
      <c r="K79" s="168">
        <f t="shared" si="31"/>
        <v>77881131.900411308</v>
      </c>
      <c r="L79" s="168">
        <f t="shared" si="31"/>
        <v>128148696.2985236</v>
      </c>
      <c r="M79" s="168">
        <f t="shared" si="31"/>
        <v>170530195.74640292</v>
      </c>
      <c r="N79" s="168">
        <f t="shared" si="31"/>
        <v>205104490.8935515</v>
      </c>
      <c r="O79" s="168">
        <f t="shared" si="31"/>
        <v>231949653.78297669</v>
      </c>
      <c r="P79" s="168">
        <f t="shared" si="31"/>
        <v>251922975.73725575</v>
      </c>
    </row>
    <row r="80" spans="4:16" ht="15">
      <c r="D80" s="143" t="s">
        <v>201</v>
      </c>
      <c r="E80" s="117">
        <v>0.12</v>
      </c>
      <c r="F80" s="44">
        <f>+F79+NPV(E80,G75:P75)</f>
        <v>55306224.384317279</v>
      </c>
      <c r="P80" s="118"/>
    </row>
    <row r="81" spans="4:16" ht="15">
      <c r="D81" s="147" t="s">
        <v>143</v>
      </c>
      <c r="E81" s="145"/>
      <c r="F81" s="202">
        <f>IRR(F75:P75)</f>
        <v>0.17724817240709712</v>
      </c>
      <c r="G81" s="145"/>
      <c r="H81" s="145"/>
      <c r="I81" s="145"/>
      <c r="J81" s="145"/>
      <c r="K81" s="145"/>
      <c r="L81" s="145"/>
      <c r="M81" s="145"/>
      <c r="N81" s="145"/>
      <c r="O81" s="145"/>
      <c r="P81" s="146"/>
    </row>
    <row r="84" spans="4:16" ht="15">
      <c r="D84" s="236" t="s">
        <v>202</v>
      </c>
      <c r="E84" s="237"/>
      <c r="F84" s="237"/>
      <c r="G84" s="237"/>
      <c r="H84" s="238"/>
    </row>
    <row r="85" spans="4:16" ht="15">
      <c r="D85" s="143" t="s">
        <v>203</v>
      </c>
      <c r="E85" s="133"/>
      <c r="F85" s="133"/>
      <c r="G85" s="153" t="s">
        <v>145</v>
      </c>
      <c r="H85" s="154" t="s">
        <v>146</v>
      </c>
    </row>
    <row r="86" spans="4:16" ht="15">
      <c r="D86" s="143" t="s">
        <v>204</v>
      </c>
      <c r="E86" s="133"/>
      <c r="F86" s="133"/>
      <c r="G86" s="140">
        <v>0.65</v>
      </c>
      <c r="H86" s="158">
        <f>+H88*G86</f>
        <v>191466600</v>
      </c>
    </row>
    <row r="87" spans="4:16" ht="15">
      <c r="D87" s="143" t="s">
        <v>205</v>
      </c>
      <c r="E87" s="133"/>
      <c r="F87" s="133"/>
      <c r="G87" s="140">
        <v>0.35</v>
      </c>
      <c r="H87" s="158">
        <f>+H88*G87</f>
        <v>103097400</v>
      </c>
    </row>
    <row r="88" spans="4:16" ht="15">
      <c r="D88" s="147" t="s">
        <v>206</v>
      </c>
      <c r="E88" s="148" t="s">
        <v>188</v>
      </c>
      <c r="F88" s="148" t="s">
        <v>188</v>
      </c>
      <c r="G88" s="149">
        <f>+G86+G87</f>
        <v>1</v>
      </c>
      <c r="H88" s="157">
        <f>+-F75</f>
        <v>294564000</v>
      </c>
    </row>
    <row r="89" spans="4:16" ht="15">
      <c r="D89" s="133"/>
      <c r="E89" s="133"/>
      <c r="F89" s="133"/>
      <c r="G89" s="133"/>
      <c r="H89" s="133"/>
    </row>
    <row r="90" spans="4:16" ht="15">
      <c r="D90" s="231" t="s">
        <v>207</v>
      </c>
      <c r="E90" s="231"/>
      <c r="F90" s="231"/>
      <c r="G90" s="133"/>
      <c r="H90" s="133"/>
    </row>
    <row r="91" spans="4:16" ht="15">
      <c r="D91" s="133" t="s">
        <v>208</v>
      </c>
      <c r="E91" s="133"/>
      <c r="F91" s="163">
        <f>+H86</f>
        <v>191466600</v>
      </c>
      <c r="G91" s="133"/>
      <c r="H91" s="133"/>
    </row>
    <row r="92" spans="4:16" ht="15">
      <c r="D92" s="133" t="s">
        <v>209</v>
      </c>
      <c r="E92" s="133"/>
      <c r="F92" s="164">
        <v>0.18</v>
      </c>
      <c r="G92" s="133"/>
      <c r="H92" s="133"/>
    </row>
    <row r="93" spans="4:16" ht="15">
      <c r="D93" s="133" t="s">
        <v>153</v>
      </c>
      <c r="E93" s="133"/>
      <c r="F93" s="166">
        <v>10</v>
      </c>
      <c r="G93" s="133"/>
      <c r="H93" s="133"/>
    </row>
    <row r="94" spans="4:16" ht="15">
      <c r="D94" s="133" t="s">
        <v>154</v>
      </c>
      <c r="E94" s="133" t="s">
        <v>188</v>
      </c>
      <c r="F94" s="165">
        <f>+PMT(F92,F93,F91)</f>
        <v>-42604121.82477247</v>
      </c>
      <c r="G94" s="133"/>
      <c r="H94" s="133"/>
    </row>
    <row r="96" spans="4:16" ht="15.75">
      <c r="D96" s="236" t="s">
        <v>210</v>
      </c>
      <c r="E96" s="237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4:16" ht="15">
      <c r="D97" s="143" t="s">
        <v>188</v>
      </c>
      <c r="E97" s="133"/>
      <c r="F97" s="180">
        <v>1</v>
      </c>
      <c r="G97" s="180">
        <v>2</v>
      </c>
      <c r="H97" s="180">
        <v>3</v>
      </c>
      <c r="I97" s="180">
        <v>4</v>
      </c>
      <c r="J97" s="180">
        <v>5</v>
      </c>
      <c r="K97" s="180">
        <v>6</v>
      </c>
      <c r="L97" s="180">
        <v>7</v>
      </c>
      <c r="M97" s="180">
        <v>8</v>
      </c>
      <c r="N97" s="180">
        <v>9</v>
      </c>
      <c r="O97" s="180">
        <v>10</v>
      </c>
      <c r="P97" s="118"/>
    </row>
    <row r="98" spans="4:16" ht="15">
      <c r="D98" s="143" t="s">
        <v>156</v>
      </c>
      <c r="E98" s="133"/>
      <c r="F98" s="181">
        <f>+F91</f>
        <v>191466600</v>
      </c>
      <c r="G98" s="181">
        <f t="shared" ref="G98:O98" si="32">+F102</f>
        <v>183326466.17522752</v>
      </c>
      <c r="H98" s="181">
        <f t="shared" si="32"/>
        <v>173721108.261996</v>
      </c>
      <c r="I98" s="181">
        <f t="shared" si="32"/>
        <v>162386785.92438281</v>
      </c>
      <c r="J98" s="181">
        <f t="shared" si="32"/>
        <v>149012285.56599924</v>
      </c>
      <c r="K98" s="181">
        <f t="shared" si="32"/>
        <v>133230375.14310664</v>
      </c>
      <c r="L98" s="181">
        <f t="shared" si="32"/>
        <v>114607720.84409337</v>
      </c>
      <c r="M98" s="181">
        <f t="shared" si="32"/>
        <v>92632988.771257699</v>
      </c>
      <c r="N98" s="181">
        <f t="shared" si="32"/>
        <v>66702804.92531161</v>
      </c>
      <c r="O98" s="181">
        <f t="shared" si="32"/>
        <v>36105187.987095229</v>
      </c>
      <c r="P98" s="118"/>
    </row>
    <row r="99" spans="4:16" ht="15">
      <c r="D99" s="143" t="s">
        <v>154</v>
      </c>
      <c r="E99" s="133"/>
      <c r="F99" s="181">
        <f>+-$F$94</f>
        <v>42604121.82477247</v>
      </c>
      <c r="G99" s="181">
        <f t="shared" ref="G99:O99" si="33">+-$F$94</f>
        <v>42604121.82477247</v>
      </c>
      <c r="H99" s="181">
        <f t="shared" si="33"/>
        <v>42604121.82477247</v>
      </c>
      <c r="I99" s="181">
        <f t="shared" si="33"/>
        <v>42604121.82477247</v>
      </c>
      <c r="J99" s="181">
        <f t="shared" si="33"/>
        <v>42604121.82477247</v>
      </c>
      <c r="K99" s="181">
        <f t="shared" si="33"/>
        <v>42604121.82477247</v>
      </c>
      <c r="L99" s="181">
        <f t="shared" si="33"/>
        <v>42604121.82477247</v>
      </c>
      <c r="M99" s="181">
        <f t="shared" si="33"/>
        <v>42604121.82477247</v>
      </c>
      <c r="N99" s="181">
        <f t="shared" si="33"/>
        <v>42604121.82477247</v>
      </c>
      <c r="O99" s="181">
        <f t="shared" si="33"/>
        <v>42604121.82477247</v>
      </c>
      <c r="P99" s="118"/>
    </row>
    <row r="100" spans="4:16" ht="15">
      <c r="D100" s="161" t="s">
        <v>211</v>
      </c>
      <c r="E100" s="162"/>
      <c r="F100" s="182">
        <f>+(F91*$F$92)</f>
        <v>34463988</v>
      </c>
      <c r="G100" s="182">
        <f>+(G98*$F$92)</f>
        <v>32998763.911540952</v>
      </c>
      <c r="H100" s="182">
        <f>+(H98*$F$92)</f>
        <v>31269799.487159278</v>
      </c>
      <c r="I100" s="182">
        <f>+(I98*$F$92)</f>
        <v>29229621.466388904</v>
      </c>
      <c r="J100" s="182">
        <f t="shared" ref="J100:O100" si="34">+(J98*$F$92)</f>
        <v>26822211.401879862</v>
      </c>
      <c r="K100" s="182">
        <f t="shared" si="34"/>
        <v>23981467.525759194</v>
      </c>
      <c r="L100" s="182">
        <f t="shared" si="34"/>
        <v>20629389.751936805</v>
      </c>
      <c r="M100" s="182">
        <f t="shared" si="34"/>
        <v>16673937.978826385</v>
      </c>
      <c r="N100" s="182">
        <f t="shared" si="34"/>
        <v>12006504.886556089</v>
      </c>
      <c r="O100" s="182">
        <f t="shared" si="34"/>
        <v>6498933.8376771407</v>
      </c>
      <c r="P100" s="118"/>
    </row>
    <row r="101" spans="4:16" ht="15">
      <c r="D101" s="159" t="s">
        <v>212</v>
      </c>
      <c r="E101" s="160"/>
      <c r="F101" s="183">
        <f>+F99-F100</f>
        <v>8140133.8247724697</v>
      </c>
      <c r="G101" s="183">
        <f>+G99-G100</f>
        <v>9605357.9132315181</v>
      </c>
      <c r="H101" s="183">
        <f t="shared" ref="H101:O101" si="35">+H99-H100</f>
        <v>11334322.337613191</v>
      </c>
      <c r="I101" s="183">
        <f t="shared" si="35"/>
        <v>13374500.358383566</v>
      </c>
      <c r="J101" s="183">
        <f t="shared" si="35"/>
        <v>15781910.422892608</v>
      </c>
      <c r="K101" s="183">
        <f t="shared" si="35"/>
        <v>18622654.299013276</v>
      </c>
      <c r="L101" s="183">
        <f t="shared" si="35"/>
        <v>21974732.072835665</v>
      </c>
      <c r="M101" s="183">
        <f t="shared" si="35"/>
        <v>25930183.845946085</v>
      </c>
      <c r="N101" s="183">
        <f t="shared" si="35"/>
        <v>30597616.938216381</v>
      </c>
      <c r="O101" s="183">
        <f t="shared" si="35"/>
        <v>36105187.987095326</v>
      </c>
      <c r="P101" s="118"/>
    </row>
    <row r="102" spans="4:16" ht="15">
      <c r="D102" s="143" t="s">
        <v>160</v>
      </c>
      <c r="E102" s="133" t="s">
        <v>188</v>
      </c>
      <c r="F102" s="181">
        <f>+F98+-F101</f>
        <v>183326466.17522752</v>
      </c>
      <c r="G102" s="181">
        <f t="shared" ref="G102:N102" si="36">+G98+-G101</f>
        <v>173721108.261996</v>
      </c>
      <c r="H102" s="181">
        <f t="shared" si="36"/>
        <v>162386785.92438281</v>
      </c>
      <c r="I102" s="181">
        <f t="shared" si="36"/>
        <v>149012285.56599924</v>
      </c>
      <c r="J102" s="181">
        <f t="shared" si="36"/>
        <v>133230375.14310664</v>
      </c>
      <c r="K102" s="181">
        <f t="shared" si="36"/>
        <v>114607720.84409337</v>
      </c>
      <c r="L102" s="181">
        <f t="shared" si="36"/>
        <v>92632988.771257699</v>
      </c>
      <c r="M102" s="181">
        <f t="shared" si="36"/>
        <v>66702804.92531161</v>
      </c>
      <c r="N102" s="181">
        <f t="shared" si="36"/>
        <v>36105187.987095229</v>
      </c>
      <c r="O102" s="184">
        <f>+O98+-O101</f>
        <v>-9.6857547760009766E-8</v>
      </c>
      <c r="P102" s="44"/>
    </row>
    <row r="103" spans="4:16" ht="15">
      <c r="D103" s="144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6"/>
    </row>
    <row r="106" spans="4:16" ht="15">
      <c r="D106" s="236" t="s">
        <v>213</v>
      </c>
      <c r="E106" s="237"/>
      <c r="F106" s="237"/>
      <c r="G106" s="237"/>
      <c r="H106" s="141"/>
      <c r="I106" s="141"/>
      <c r="J106" s="141"/>
      <c r="K106" s="141"/>
      <c r="L106" s="141"/>
      <c r="M106" s="141"/>
      <c r="N106" s="141"/>
      <c r="O106" s="141"/>
      <c r="P106" s="142"/>
    </row>
    <row r="107" spans="4:16" ht="15">
      <c r="D107" s="143" t="s">
        <v>188</v>
      </c>
      <c r="E107" s="133"/>
      <c r="F107" s="133"/>
      <c r="G107" s="185">
        <v>1</v>
      </c>
      <c r="H107" s="33">
        <v>2</v>
      </c>
      <c r="I107" s="33">
        <v>3</v>
      </c>
      <c r="J107" s="185">
        <v>4</v>
      </c>
      <c r="K107" s="33">
        <v>5</v>
      </c>
      <c r="L107" s="33">
        <v>6</v>
      </c>
      <c r="M107" s="185">
        <v>7</v>
      </c>
      <c r="N107" s="33">
        <v>8</v>
      </c>
      <c r="O107" s="33">
        <v>9</v>
      </c>
      <c r="P107" s="185">
        <v>10</v>
      </c>
    </row>
    <row r="108" spans="4:16" ht="15">
      <c r="D108" s="233" t="s">
        <v>189</v>
      </c>
      <c r="E108" s="232"/>
      <c r="F108" s="232"/>
      <c r="G108" s="168">
        <f>+G66</f>
        <v>83438659.026503325</v>
      </c>
      <c r="H108" s="168">
        <f t="shared" ref="H108:P108" si="37">+H66</f>
        <v>72382020.45485568</v>
      </c>
      <c r="I108" s="168">
        <f t="shared" si="37"/>
        <v>61435948.268924713</v>
      </c>
      <c r="J108" s="168">
        <f t="shared" si="37"/>
        <v>50599336.804852962</v>
      </c>
      <c r="K108" s="168">
        <f t="shared" si="37"/>
        <v>39871091.455421805</v>
      </c>
      <c r="L108" s="168">
        <f t="shared" si="37"/>
        <v>29250128.559485078</v>
      </c>
      <c r="M108" s="168">
        <f t="shared" si="37"/>
        <v>18735375.292507768</v>
      </c>
      <c r="N108" s="168">
        <f t="shared" si="37"/>
        <v>8325769.5582001209</v>
      </c>
      <c r="O108" s="168">
        <f t="shared" si="37"/>
        <v>-1979740.1187644005</v>
      </c>
      <c r="P108" s="168">
        <f t="shared" si="37"/>
        <v>-12182194.698959231</v>
      </c>
    </row>
    <row r="109" spans="4:16" ht="15">
      <c r="D109" s="233" t="s">
        <v>190</v>
      </c>
      <c r="E109" s="232"/>
      <c r="F109" s="232"/>
      <c r="G109" s="168">
        <f>+G67</f>
        <v>9144044.860236764</v>
      </c>
      <c r="H109" s="168">
        <f t="shared" ref="H109:P109" si="38">+H67</f>
        <v>9144044.860236764</v>
      </c>
      <c r="I109" s="168">
        <f t="shared" si="38"/>
        <v>9144044.860236764</v>
      </c>
      <c r="J109" s="168">
        <f t="shared" si="38"/>
        <v>9144044.860236764</v>
      </c>
      <c r="K109" s="168">
        <f t="shared" si="38"/>
        <v>9144044.860236764</v>
      </c>
      <c r="L109" s="168">
        <f t="shared" si="38"/>
        <v>9144044.860236764</v>
      </c>
      <c r="M109" s="168">
        <f t="shared" si="38"/>
        <v>9144044.860236764</v>
      </c>
      <c r="N109" s="168">
        <f t="shared" si="38"/>
        <v>9144044.860236764</v>
      </c>
      <c r="O109" s="168">
        <f t="shared" si="38"/>
        <v>9144044.860236764</v>
      </c>
      <c r="P109" s="168">
        <f t="shared" si="38"/>
        <v>9144044.860236764</v>
      </c>
    </row>
    <row r="110" spans="4:16" ht="15">
      <c r="D110" s="233" t="s">
        <v>191</v>
      </c>
      <c r="E110" s="232"/>
      <c r="F110" s="232"/>
      <c r="G110" s="168">
        <f>+G68</f>
        <v>-11337708</v>
      </c>
      <c r="H110" s="168">
        <f t="shared" ref="H110:P110" si="39">+H68</f>
        <v>-11337708</v>
      </c>
      <c r="I110" s="168">
        <f t="shared" si="39"/>
        <v>-11337708</v>
      </c>
      <c r="J110" s="168">
        <f t="shared" si="39"/>
        <v>-11337708</v>
      </c>
      <c r="K110" s="168">
        <f t="shared" si="39"/>
        <v>-11337708</v>
      </c>
      <c r="L110" s="168">
        <f t="shared" si="39"/>
        <v>-11337708</v>
      </c>
      <c r="M110" s="168">
        <f t="shared" si="39"/>
        <v>-11337708</v>
      </c>
      <c r="N110" s="168">
        <f t="shared" si="39"/>
        <v>-11337708</v>
      </c>
      <c r="O110" s="168">
        <f t="shared" si="39"/>
        <v>-11337708</v>
      </c>
      <c r="P110" s="168">
        <f t="shared" si="39"/>
        <v>-11337708</v>
      </c>
    </row>
    <row r="111" spans="4:16" ht="15">
      <c r="D111" s="233" t="s">
        <v>192</v>
      </c>
      <c r="E111" s="232"/>
      <c r="F111" s="232"/>
      <c r="G111" s="168">
        <f>+G69</f>
        <v>780000</v>
      </c>
      <c r="H111" s="168">
        <f t="shared" ref="H111:P111" si="40">+H69</f>
        <v>780000</v>
      </c>
      <c r="I111" s="168">
        <f t="shared" si="40"/>
        <v>780000</v>
      </c>
      <c r="J111" s="168">
        <f t="shared" si="40"/>
        <v>780000</v>
      </c>
      <c r="K111" s="168">
        <f t="shared" si="40"/>
        <v>780000</v>
      </c>
      <c r="L111" s="168">
        <f t="shared" si="40"/>
        <v>780000</v>
      </c>
      <c r="M111" s="168">
        <f t="shared" si="40"/>
        <v>780000</v>
      </c>
      <c r="N111" s="168">
        <f t="shared" si="40"/>
        <v>780000</v>
      </c>
      <c r="O111" s="168">
        <f t="shared" si="40"/>
        <v>780000</v>
      </c>
      <c r="P111" s="168">
        <f t="shared" si="40"/>
        <v>780000</v>
      </c>
    </row>
    <row r="112" spans="4:16" ht="15">
      <c r="D112" s="233" t="s">
        <v>164</v>
      </c>
      <c r="E112" s="232"/>
      <c r="F112" s="232"/>
      <c r="G112" s="168">
        <f>+F100</f>
        <v>34463988</v>
      </c>
      <c r="H112" s="168">
        <f t="shared" ref="H112:P112" si="41">+G100</f>
        <v>32998763.911540952</v>
      </c>
      <c r="I112" s="168">
        <f t="shared" si="41"/>
        <v>31269799.487159278</v>
      </c>
      <c r="J112" s="168">
        <f t="shared" si="41"/>
        <v>29229621.466388904</v>
      </c>
      <c r="K112" s="168">
        <f t="shared" si="41"/>
        <v>26822211.401879862</v>
      </c>
      <c r="L112" s="168">
        <f t="shared" si="41"/>
        <v>23981467.525759194</v>
      </c>
      <c r="M112" s="168">
        <f t="shared" si="41"/>
        <v>20629389.751936805</v>
      </c>
      <c r="N112" s="168">
        <f t="shared" si="41"/>
        <v>16673937.978826385</v>
      </c>
      <c r="O112" s="168">
        <f t="shared" si="41"/>
        <v>12006504.886556089</v>
      </c>
      <c r="P112" s="168">
        <f t="shared" si="41"/>
        <v>6498933.8376771407</v>
      </c>
    </row>
    <row r="113" spans="4:16" ht="15">
      <c r="D113" s="241" t="s">
        <v>214</v>
      </c>
      <c r="E113" s="229"/>
      <c r="F113" s="229"/>
      <c r="G113" s="168">
        <f>+G70</f>
        <v>84852322.166266561</v>
      </c>
      <c r="H113" s="168">
        <f t="shared" ref="H113:P113" si="42">+H70</f>
        <v>73795683.594618917</v>
      </c>
      <c r="I113" s="168">
        <f t="shared" si="42"/>
        <v>62849611.408687949</v>
      </c>
      <c r="J113" s="168">
        <f t="shared" si="42"/>
        <v>52012999.944616199</v>
      </c>
      <c r="K113" s="168">
        <f t="shared" si="42"/>
        <v>41284754.595185041</v>
      </c>
      <c r="L113" s="168">
        <f t="shared" si="42"/>
        <v>30663791.699248314</v>
      </c>
      <c r="M113" s="168">
        <f t="shared" si="42"/>
        <v>20149038.432271004</v>
      </c>
      <c r="N113" s="168">
        <f t="shared" si="42"/>
        <v>9739432.697963357</v>
      </c>
      <c r="O113" s="168">
        <f t="shared" si="42"/>
        <v>-566076.97900116444</v>
      </c>
      <c r="P113" s="168">
        <f t="shared" si="42"/>
        <v>-10768531.559195995</v>
      </c>
    </row>
    <row r="114" spans="4:16" ht="15">
      <c r="D114" s="233" t="s">
        <v>165</v>
      </c>
      <c r="E114" s="232"/>
      <c r="F114" s="232"/>
      <c r="G114" s="168">
        <f>+G71</f>
        <v>21213080.54156664</v>
      </c>
      <c r="H114" s="168">
        <f t="shared" ref="H114:P114" si="43">+H71</f>
        <v>18448920.898654729</v>
      </c>
      <c r="I114" s="168">
        <f t="shared" si="43"/>
        <v>15712402.852171987</v>
      </c>
      <c r="J114" s="168">
        <f t="shared" si="43"/>
        <v>13003249.98615405</v>
      </c>
      <c r="K114" s="168">
        <f t="shared" si="43"/>
        <v>10321188.64879626</v>
      </c>
      <c r="L114" s="168">
        <f t="shared" si="43"/>
        <v>7665947.9248120785</v>
      </c>
      <c r="M114" s="168">
        <f t="shared" si="43"/>
        <v>5037259.6080677509</v>
      </c>
      <c r="N114" s="168">
        <f t="shared" si="43"/>
        <v>2434858.1744908392</v>
      </c>
      <c r="O114" s="168">
        <f t="shared" si="43"/>
        <v>-141519.24475029111</v>
      </c>
      <c r="P114" s="168">
        <f t="shared" si="43"/>
        <v>-2692132.8897989988</v>
      </c>
    </row>
    <row r="115" spans="4:16" ht="15">
      <c r="D115" s="241" t="s">
        <v>215</v>
      </c>
      <c r="E115" s="229"/>
      <c r="F115" s="229"/>
      <c r="G115" s="168">
        <f>+G72</f>
        <v>63639241.62469992</v>
      </c>
      <c r="H115" s="168">
        <f t="shared" ref="H115:P115" si="44">+H72</f>
        <v>55346762.695964187</v>
      </c>
      <c r="I115" s="168">
        <f t="shared" si="44"/>
        <v>47137208.556515962</v>
      </c>
      <c r="J115" s="168">
        <f t="shared" si="44"/>
        <v>39009749.958462149</v>
      </c>
      <c r="K115" s="168">
        <f t="shared" si="44"/>
        <v>30963565.946388781</v>
      </c>
      <c r="L115" s="168">
        <f t="shared" si="44"/>
        <v>22997843.774436235</v>
      </c>
      <c r="M115" s="168">
        <f t="shared" si="44"/>
        <v>15111778.824203253</v>
      </c>
      <c r="N115" s="168">
        <f t="shared" si="44"/>
        <v>7304574.5234725177</v>
      </c>
      <c r="O115" s="168">
        <f t="shared" si="44"/>
        <v>-424557.73425087333</v>
      </c>
      <c r="P115" s="168">
        <f t="shared" si="44"/>
        <v>-8076398.6693969965</v>
      </c>
    </row>
    <row r="116" spans="4:16" ht="15">
      <c r="D116" s="233" t="s">
        <v>192</v>
      </c>
      <c r="E116" s="232"/>
      <c r="F116" s="232"/>
      <c r="G116" s="168">
        <f>+G73</f>
        <v>780000</v>
      </c>
      <c r="H116" s="168">
        <f t="shared" ref="H116:P116" si="45">+H73</f>
        <v>780000</v>
      </c>
      <c r="I116" s="168">
        <f t="shared" si="45"/>
        <v>780000</v>
      </c>
      <c r="J116" s="168">
        <f t="shared" si="45"/>
        <v>780000</v>
      </c>
      <c r="K116" s="168">
        <f t="shared" si="45"/>
        <v>780000</v>
      </c>
      <c r="L116" s="168">
        <f t="shared" si="45"/>
        <v>780000</v>
      </c>
      <c r="M116" s="168">
        <f t="shared" si="45"/>
        <v>780000</v>
      </c>
      <c r="N116" s="168">
        <f t="shared" si="45"/>
        <v>780000</v>
      </c>
      <c r="O116" s="168">
        <f t="shared" si="45"/>
        <v>780000</v>
      </c>
      <c r="P116" s="168">
        <f t="shared" si="45"/>
        <v>780000</v>
      </c>
    </row>
    <row r="117" spans="4:16" ht="15">
      <c r="D117" s="233" t="s">
        <v>212</v>
      </c>
      <c r="E117" s="232"/>
      <c r="F117" s="232"/>
      <c r="G117" s="168">
        <f>+F101</f>
        <v>8140133.8247724697</v>
      </c>
      <c r="H117" s="168">
        <f t="shared" ref="H117:P117" si="46">+G101</f>
        <v>9605357.9132315181</v>
      </c>
      <c r="I117" s="168">
        <f t="shared" si="46"/>
        <v>11334322.337613191</v>
      </c>
      <c r="J117" s="168">
        <f t="shared" si="46"/>
        <v>13374500.358383566</v>
      </c>
      <c r="K117" s="168">
        <f t="shared" si="46"/>
        <v>15781910.422892608</v>
      </c>
      <c r="L117" s="168">
        <f t="shared" si="46"/>
        <v>18622654.299013276</v>
      </c>
      <c r="M117" s="168">
        <f t="shared" si="46"/>
        <v>21974732.072835665</v>
      </c>
      <c r="N117" s="168">
        <f t="shared" si="46"/>
        <v>25930183.845946085</v>
      </c>
      <c r="O117" s="168">
        <f t="shared" si="46"/>
        <v>30597616.938216381</v>
      </c>
      <c r="P117" s="168">
        <f t="shared" si="46"/>
        <v>36105187.987095326</v>
      </c>
    </row>
    <row r="118" spans="4:16" ht="15">
      <c r="D118" s="233" t="s">
        <v>138</v>
      </c>
      <c r="E118" s="232"/>
      <c r="F118" s="232"/>
      <c r="G118" s="168">
        <f>+G74</f>
        <v>26489720.623676058</v>
      </c>
      <c r="H118" s="168">
        <f t="shared" ref="H118:P118" si="47">+H74</f>
        <v>26489720.623676058</v>
      </c>
      <c r="I118" s="168">
        <f t="shared" si="47"/>
        <v>26489720.623676058</v>
      </c>
      <c r="J118" s="168">
        <f t="shared" si="47"/>
        <v>26489720.623676058</v>
      </c>
      <c r="K118" s="168">
        <f t="shared" si="47"/>
        <v>26489720.623676058</v>
      </c>
      <c r="L118" s="168">
        <f t="shared" si="47"/>
        <v>26489720.623676058</v>
      </c>
      <c r="M118" s="168">
        <f t="shared" si="47"/>
        <v>26489720.623676058</v>
      </c>
      <c r="N118" s="168">
        <f t="shared" si="47"/>
        <v>26489720.623676058</v>
      </c>
      <c r="O118" s="168">
        <f t="shared" si="47"/>
        <v>26489720.623676058</v>
      </c>
      <c r="P118" s="168">
        <f t="shared" si="47"/>
        <v>27269720.623676058</v>
      </c>
    </row>
    <row r="119" spans="4:16" ht="15">
      <c r="D119" s="242" t="s">
        <v>216</v>
      </c>
      <c r="E119" s="243"/>
      <c r="F119" s="167">
        <f>+-H86</f>
        <v>-191466600</v>
      </c>
      <c r="G119" s="168">
        <f>+G115+G116-G117+G118</f>
        <v>82768828.423603505</v>
      </c>
      <c r="H119" s="168">
        <f t="shared" ref="H119:P119" si="48">+H115+H116-H117+H118</f>
        <v>73011125.406408727</v>
      </c>
      <c r="I119" s="168">
        <f t="shared" si="48"/>
        <v>63072606.842578828</v>
      </c>
      <c r="J119" s="168">
        <f t="shared" si="48"/>
        <v>52904970.223754644</v>
      </c>
      <c r="K119" s="168">
        <f t="shared" si="48"/>
        <v>42451376.147172228</v>
      </c>
      <c r="L119" s="168">
        <f t="shared" si="48"/>
        <v>31644910.099099018</v>
      </c>
      <c r="M119" s="168">
        <f t="shared" si="48"/>
        <v>20406767.375043646</v>
      </c>
      <c r="N119" s="168">
        <f t="shared" si="48"/>
        <v>8644111.3012024909</v>
      </c>
      <c r="O119" s="168">
        <f t="shared" si="48"/>
        <v>-3752454.0487911962</v>
      </c>
      <c r="P119" s="168">
        <f t="shared" si="48"/>
        <v>-16131866.032816265</v>
      </c>
    </row>
    <row r="122" spans="4:16" ht="15">
      <c r="D122" s="239" t="s">
        <v>217</v>
      </c>
      <c r="E122" s="240"/>
      <c r="F122" s="240"/>
      <c r="G122" s="240"/>
      <c r="H122" s="141"/>
      <c r="I122" s="141"/>
      <c r="J122" s="141"/>
      <c r="K122" s="141"/>
      <c r="L122" s="141"/>
      <c r="M122" s="141"/>
      <c r="N122" s="141"/>
      <c r="O122" s="141"/>
      <c r="P122" s="142"/>
    </row>
    <row r="123" spans="4:16" ht="15.75">
      <c r="D123" s="150" t="s">
        <v>218</v>
      </c>
      <c r="E123" s="139" t="s">
        <v>188</v>
      </c>
      <c r="F123" s="168">
        <f>+F119</f>
        <v>-191466600</v>
      </c>
      <c r="G123" s="168">
        <f>+F123+G119</f>
        <v>-108697771.5763965</v>
      </c>
      <c r="H123" s="168">
        <f t="shared" ref="H123:P123" si="49">+G123+H119</f>
        <v>-35686646.169987768</v>
      </c>
      <c r="I123" s="168">
        <f t="shared" si="49"/>
        <v>27385960.67259106</v>
      </c>
      <c r="J123" s="168">
        <f t="shared" si="49"/>
        <v>80290930.896345705</v>
      </c>
      <c r="K123" s="168">
        <f t="shared" si="49"/>
        <v>122742307.04351793</v>
      </c>
      <c r="L123" s="168">
        <f t="shared" si="49"/>
        <v>154387217.14261696</v>
      </c>
      <c r="M123" s="168">
        <f t="shared" si="49"/>
        <v>174793984.51766062</v>
      </c>
      <c r="N123" s="168">
        <f t="shared" si="49"/>
        <v>183438095.81886309</v>
      </c>
      <c r="O123" s="168">
        <f t="shared" si="49"/>
        <v>179685641.77007189</v>
      </c>
      <c r="P123" s="168">
        <f t="shared" si="49"/>
        <v>163553775.73725563</v>
      </c>
    </row>
    <row r="124" spans="4:16" ht="15">
      <c r="D124" s="143" t="s">
        <v>201</v>
      </c>
      <c r="E124" s="140">
        <v>0.12</v>
      </c>
      <c r="F124" s="168">
        <f>+F123+NPV(E124,G123:P123)</f>
        <v>172028290.96897697</v>
      </c>
      <c r="G124" s="133"/>
      <c r="P124" s="118"/>
    </row>
    <row r="125" spans="4:16" ht="15">
      <c r="D125" s="147" t="s">
        <v>143</v>
      </c>
      <c r="E125" s="148"/>
      <c r="F125" s="203">
        <f>+IRR(F123:P123)</f>
        <v>0.20093050255976386</v>
      </c>
      <c r="G125" s="149"/>
      <c r="H125" s="145"/>
      <c r="I125" s="145"/>
      <c r="J125" s="145"/>
      <c r="K125" s="145"/>
      <c r="L125" s="145"/>
      <c r="M125" s="145"/>
      <c r="N125" s="145"/>
      <c r="O125" s="145"/>
      <c r="P125" s="146"/>
    </row>
    <row r="128" spans="4:16" ht="17.25" customHeight="1"/>
    <row r="129" spans="4:13" ht="27" customHeight="1">
      <c r="D129" s="170" t="s">
        <v>219</v>
      </c>
      <c r="E129" s="169"/>
      <c r="F129" s="169"/>
      <c r="I129" s="228" t="s">
        <v>220</v>
      </c>
      <c r="J129" s="228"/>
    </row>
    <row r="131" spans="4:13" ht="15">
      <c r="E131" s="187">
        <f>+F124</f>
        <v>172028290.96897697</v>
      </c>
      <c r="F131" s="188">
        <v>-1.4999999999999999E-2</v>
      </c>
      <c r="G131" s="188">
        <v>-0.01</v>
      </c>
      <c r="H131" s="188">
        <v>-5.0000000000000001E-3</v>
      </c>
      <c r="I131" s="188">
        <v>0</v>
      </c>
      <c r="J131" s="188">
        <v>5.0000000000000001E-3</v>
      </c>
      <c r="K131" s="188">
        <v>0.01</v>
      </c>
      <c r="L131" s="188">
        <v>1.4999999999999999E-2</v>
      </c>
      <c r="M131" s="188">
        <v>0</v>
      </c>
    </row>
    <row r="132" spans="4:13" ht="15">
      <c r="E132" s="33">
        <v>0.4</v>
      </c>
      <c r="F132" s="189">
        <f t="dataTable" ref="F132:M138" dt2D="1" dtr="1" r1="E40" r2="G86"/>
        <v>9115125.0200554878</v>
      </c>
      <c r="G132" s="189">
        <v>267250413.03114408</v>
      </c>
      <c r="H132" s="189">
        <v>530131155.60157549</v>
      </c>
      <c r="I132" s="189">
        <v>797852252.70414579</v>
      </c>
      <c r="J132" s="189">
        <v>1070510444.9864929</v>
      </c>
      <c r="K132" s="189">
        <v>1348204345.9494231</v>
      </c>
      <c r="L132" s="189">
        <v>1631034474.5999036</v>
      </c>
      <c r="M132" s="189">
        <v>797852252.70414579</v>
      </c>
    </row>
    <row r="133" spans="4:13" ht="15">
      <c r="E133" s="33">
        <v>0.45</v>
      </c>
      <c r="F133" s="189">
        <v>-116049667.32697842</v>
      </c>
      <c r="G133" s="189">
        <v>142085620.68411022</v>
      </c>
      <c r="H133" s="189">
        <v>404966363.25454164</v>
      </c>
      <c r="I133" s="189">
        <v>672687460.35711181</v>
      </c>
      <c r="J133" s="189">
        <v>945345652.63945913</v>
      </c>
      <c r="K133" s="189">
        <v>1223039553.6023893</v>
      </c>
      <c r="L133" s="189">
        <v>1505869682.2528701</v>
      </c>
      <c r="M133" s="189">
        <v>672687460.35711181</v>
      </c>
    </row>
    <row r="134" spans="4:13" ht="15">
      <c r="D134" s="169" t="s">
        <v>221</v>
      </c>
      <c r="E134" s="33">
        <v>0.5</v>
      </c>
      <c r="F134" s="189">
        <v>-241214459.67401218</v>
      </c>
      <c r="G134" s="189">
        <v>16920828.337076455</v>
      </c>
      <c r="H134" s="189">
        <v>279801570.9075079</v>
      </c>
      <c r="I134" s="189">
        <v>547522668.01007807</v>
      </c>
      <c r="J134" s="189">
        <v>820180860.29242539</v>
      </c>
      <c r="K134" s="189">
        <v>1097874761.2553556</v>
      </c>
      <c r="L134" s="189">
        <v>1380704889.9058361</v>
      </c>
      <c r="M134" s="189">
        <v>547522668.01007807</v>
      </c>
    </row>
    <row r="135" spans="4:13" ht="15">
      <c r="D135" s="169" t="s">
        <v>222</v>
      </c>
      <c r="E135" s="33">
        <v>0.55000000000000004</v>
      </c>
      <c r="F135" s="189">
        <v>-366379252.02104568</v>
      </c>
      <c r="G135" s="189">
        <v>-108243964.00995705</v>
      </c>
      <c r="H135" s="189">
        <v>154636778.56047446</v>
      </c>
      <c r="I135" s="189">
        <v>422357875.66304445</v>
      </c>
      <c r="J135" s="189">
        <v>695016067.94539177</v>
      </c>
      <c r="K135" s="189">
        <v>972709968.9083221</v>
      </c>
      <c r="L135" s="189">
        <v>1255540097.5588026</v>
      </c>
      <c r="M135" s="189">
        <v>422357875.66304445</v>
      </c>
    </row>
    <row r="136" spans="4:13" ht="15">
      <c r="D136" s="169" t="s">
        <v>223</v>
      </c>
      <c r="E136" s="33">
        <v>0.6</v>
      </c>
      <c r="F136" s="189">
        <v>-491544044.36807936</v>
      </c>
      <c r="G136" s="189">
        <v>-233408756.35699072</v>
      </c>
      <c r="H136" s="189">
        <v>29471986.213440716</v>
      </c>
      <c r="I136" s="189">
        <v>297193083.31601083</v>
      </c>
      <c r="J136" s="189">
        <v>569851275.59835827</v>
      </c>
      <c r="K136" s="189">
        <v>847545176.56128824</v>
      </c>
      <c r="L136" s="189">
        <v>1130375305.2117691</v>
      </c>
      <c r="M136" s="189">
        <v>297193083.31601083</v>
      </c>
    </row>
    <row r="137" spans="4:13" ht="15">
      <c r="E137" s="33">
        <v>0.65</v>
      </c>
      <c r="F137" s="189">
        <v>-616708836.71511316</v>
      </c>
      <c r="G137" s="189">
        <v>-358573548.70402467</v>
      </c>
      <c r="H137" s="189">
        <v>-95692806.133593172</v>
      </c>
      <c r="I137" s="190">
        <v>172028290.96897697</v>
      </c>
      <c r="J137" s="189">
        <v>444686483.25132418</v>
      </c>
      <c r="K137" s="189">
        <v>722380384.21425438</v>
      </c>
      <c r="L137" s="189">
        <v>1005210512.8647351</v>
      </c>
      <c r="M137" s="189">
        <v>172028290.96897697</v>
      </c>
    </row>
    <row r="138" spans="4:13" ht="15">
      <c r="E138" s="33">
        <v>0.7</v>
      </c>
      <c r="F138" s="189">
        <v>-741873629.06214666</v>
      </c>
      <c r="G138" s="189">
        <v>-483738341.05105811</v>
      </c>
      <c r="H138" s="189">
        <v>-220857598.48062661</v>
      </c>
      <c r="I138" s="189">
        <v>46863498.621943474</v>
      </c>
      <c r="J138" s="189">
        <v>319521690.90429091</v>
      </c>
      <c r="K138" s="189">
        <v>597215591.86722112</v>
      </c>
      <c r="L138" s="189">
        <v>880045720.51770163</v>
      </c>
      <c r="M138" s="189">
        <v>46863498.621943474</v>
      </c>
    </row>
  </sheetData>
  <mergeCells count="34">
    <mergeCell ref="D122:G122"/>
    <mergeCell ref="D111:F111"/>
    <mergeCell ref="D112:F112"/>
    <mergeCell ref="D113:F113"/>
    <mergeCell ref="D114:F114"/>
    <mergeCell ref="D115:F115"/>
    <mergeCell ref="D116:F116"/>
    <mergeCell ref="D119:E119"/>
    <mergeCell ref="D106:G106"/>
    <mergeCell ref="D108:F108"/>
    <mergeCell ref="D109:F109"/>
    <mergeCell ref="D117:F117"/>
    <mergeCell ref="D118:F118"/>
    <mergeCell ref="D74:F74"/>
    <mergeCell ref="D78:G78"/>
    <mergeCell ref="D84:H84"/>
    <mergeCell ref="D90:F90"/>
    <mergeCell ref="D96:E96"/>
    <mergeCell ref="I129:J129"/>
    <mergeCell ref="D70:F70"/>
    <mergeCell ref="A7:B7"/>
    <mergeCell ref="F1:P1"/>
    <mergeCell ref="A32:B32"/>
    <mergeCell ref="A37:C37"/>
    <mergeCell ref="F37:P37"/>
    <mergeCell ref="D64:F64"/>
    <mergeCell ref="D66:F66"/>
    <mergeCell ref="D67:F67"/>
    <mergeCell ref="D68:F68"/>
    <mergeCell ref="D69:F69"/>
    <mergeCell ref="D110:F110"/>
    <mergeCell ref="D71:F71"/>
    <mergeCell ref="D72:F72"/>
    <mergeCell ref="D73:F73"/>
  </mergeCells>
  <conditionalFormatting sqref="F132:M13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79:P79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F123:P123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66:P7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G108:P119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CDB5-1C50-D54C-B09E-2FE6C511C7BF}">
  <dimension ref="A1:K78"/>
  <sheetViews>
    <sheetView showGridLines="0" tabSelected="1" topLeftCell="A53" zoomScale="78" zoomScaleNormal="80" zoomScaleSheetLayoutView="100" workbookViewId="0">
      <selection activeCell="H41" sqref="H41"/>
    </sheetView>
  </sheetViews>
  <sheetFormatPr baseColWidth="10" defaultColWidth="9.125" defaultRowHeight="14.25"/>
  <cols>
    <col min="2" max="2" width="39.375" bestFit="1" customWidth="1"/>
    <col min="3" max="3" width="16.25" bestFit="1" customWidth="1"/>
    <col min="4" max="4" width="17.625" customWidth="1"/>
    <col min="5" max="5" width="16.25" bestFit="1" customWidth="1"/>
    <col min="8" max="8" width="23.125" customWidth="1"/>
    <col min="9" max="9" width="9.375" customWidth="1"/>
    <col min="10" max="10" width="16.125" customWidth="1"/>
    <col min="11" max="11" width="16" customWidth="1"/>
  </cols>
  <sheetData>
    <row r="1" spans="1:11" ht="15">
      <c r="A1" s="67" t="s">
        <v>224</v>
      </c>
      <c r="B1" s="67"/>
      <c r="C1" s="67"/>
      <c r="D1" s="67"/>
      <c r="G1" s="62" t="s">
        <v>225</v>
      </c>
      <c r="H1" s="62"/>
      <c r="I1" s="62"/>
      <c r="J1" s="62"/>
      <c r="K1" s="62"/>
    </row>
    <row r="2" spans="1:11" ht="15">
      <c r="A2" s="4"/>
      <c r="B2" s="3" t="s">
        <v>226</v>
      </c>
      <c r="C2" s="24" t="s">
        <v>227</v>
      </c>
      <c r="D2" s="24" t="s">
        <v>228</v>
      </c>
      <c r="G2" s="15"/>
      <c r="H2" s="248" t="s">
        <v>226</v>
      </c>
      <c r="I2" s="249"/>
      <c r="J2" s="175" t="s">
        <v>227</v>
      </c>
      <c r="K2" s="175" t="s">
        <v>228</v>
      </c>
    </row>
    <row r="3" spans="1:11" ht="15">
      <c r="A3" s="3">
        <v>1</v>
      </c>
      <c r="B3" s="4" t="s">
        <v>229</v>
      </c>
      <c r="C3" s="25">
        <v>0.1</v>
      </c>
      <c r="D3" s="25">
        <v>0.05</v>
      </c>
      <c r="G3" s="3">
        <v>1</v>
      </c>
      <c r="H3" s="245" t="s">
        <v>229</v>
      </c>
      <c r="I3" s="246"/>
      <c r="J3" s="25">
        <v>0.15</v>
      </c>
      <c r="K3" s="25">
        <v>0.1</v>
      </c>
    </row>
    <row r="4" spans="1:11" ht="15">
      <c r="A4" s="3">
        <v>2</v>
      </c>
      <c r="B4" s="4" t="s">
        <v>230</v>
      </c>
      <c r="C4" s="25">
        <v>0.05</v>
      </c>
      <c r="D4" s="25">
        <v>0.02</v>
      </c>
      <c r="G4" s="3">
        <v>2</v>
      </c>
      <c r="H4" s="245" t="s">
        <v>230</v>
      </c>
      <c r="I4" s="246"/>
      <c r="J4" s="25">
        <v>0.25</v>
      </c>
      <c r="K4" s="25">
        <v>0.1</v>
      </c>
    </row>
    <row r="5" spans="1:11" ht="15">
      <c r="A5" s="3">
        <v>3</v>
      </c>
      <c r="B5" s="4" t="s">
        <v>231</v>
      </c>
      <c r="C5" s="25">
        <v>0.04</v>
      </c>
      <c r="D5" s="25">
        <v>0.02</v>
      </c>
      <c r="G5" s="3">
        <v>3</v>
      </c>
      <c r="H5" s="245" t="s">
        <v>231</v>
      </c>
      <c r="I5" s="246"/>
      <c r="J5" s="25">
        <v>0.1</v>
      </c>
      <c r="K5" s="25">
        <v>0.05</v>
      </c>
    </row>
    <row r="13" spans="1:11" ht="15">
      <c r="A13" s="213" t="s">
        <v>232</v>
      </c>
      <c r="B13" s="213"/>
      <c r="C13" s="213" t="s">
        <v>233</v>
      </c>
      <c r="D13" s="213"/>
      <c r="G13" s="213" t="s">
        <v>232</v>
      </c>
      <c r="H13" s="213"/>
      <c r="I13" s="171"/>
      <c r="J13" s="213" t="s">
        <v>233</v>
      </c>
      <c r="K13" s="213"/>
    </row>
    <row r="14" spans="1:11" ht="15">
      <c r="A14" s="67" t="s">
        <v>224</v>
      </c>
      <c r="B14" s="67"/>
      <c r="C14" s="173">
        <v>0.6</v>
      </c>
      <c r="D14" s="173">
        <f>1-C14</f>
        <v>0.4</v>
      </c>
      <c r="G14" s="62" t="s">
        <v>225</v>
      </c>
      <c r="H14" s="62"/>
      <c r="I14" s="62"/>
      <c r="J14" s="174">
        <v>0.6</v>
      </c>
      <c r="K14" s="174">
        <f>1-J14</f>
        <v>0.4</v>
      </c>
    </row>
    <row r="15" spans="1:11" ht="15">
      <c r="A15" s="4"/>
      <c r="B15" s="3" t="s">
        <v>226</v>
      </c>
      <c r="C15" s="24" t="s">
        <v>227</v>
      </c>
      <c r="D15" s="24" t="s">
        <v>228</v>
      </c>
      <c r="G15" s="15"/>
      <c r="H15" s="224" t="s">
        <v>226</v>
      </c>
      <c r="I15" s="225"/>
      <c r="J15" s="175" t="s">
        <v>227</v>
      </c>
      <c r="K15" s="175" t="s">
        <v>228</v>
      </c>
    </row>
    <row r="16" spans="1:11" ht="15">
      <c r="A16" s="3">
        <v>1</v>
      </c>
      <c r="B16" s="4" t="s">
        <v>229</v>
      </c>
      <c r="C16" s="206">
        <v>47335005.968144059</v>
      </c>
      <c r="D16" s="206">
        <v>41087014.338286281</v>
      </c>
      <c r="G16" s="3">
        <v>1</v>
      </c>
      <c r="H16" s="245" t="s">
        <v>229</v>
      </c>
      <c r="I16" s="246"/>
      <c r="J16" s="204">
        <v>296248288.96002156</v>
      </c>
      <c r="K16" s="204">
        <v>295522788.14103866</v>
      </c>
    </row>
    <row r="17" spans="1:11" ht="15">
      <c r="A17" s="3">
        <v>2</v>
      </c>
      <c r="B17" s="4" t="s">
        <v>230</v>
      </c>
      <c r="C17" s="206">
        <v>419657453.84533417</v>
      </c>
      <c r="D17" s="206">
        <v>227270763.10881341</v>
      </c>
      <c r="G17" s="3">
        <v>2</v>
      </c>
      <c r="H17" s="245" t="s">
        <v>230</v>
      </c>
      <c r="I17" s="246"/>
      <c r="J17" s="204">
        <v>781101298.46328247</v>
      </c>
      <c r="K17" s="204">
        <v>537587970.07254755</v>
      </c>
    </row>
    <row r="18" spans="1:11" ht="15">
      <c r="A18" s="3">
        <v>3</v>
      </c>
      <c r="B18" s="73" t="s">
        <v>231</v>
      </c>
      <c r="C18" s="207">
        <v>153997078.6988759</v>
      </c>
      <c r="D18" s="207">
        <v>94440575.535585284</v>
      </c>
      <c r="G18" s="3">
        <v>3</v>
      </c>
      <c r="H18" s="245" t="s">
        <v>231</v>
      </c>
      <c r="I18" s="246"/>
      <c r="J18" s="205">
        <v>725514895.69211996</v>
      </c>
      <c r="K18" s="211">
        <v>545129632.19306242</v>
      </c>
    </row>
    <row r="21" spans="1:11" ht="15">
      <c r="J21">
        <f>J14</f>
        <v>0.6</v>
      </c>
    </row>
    <row r="22" spans="1:11" ht="15">
      <c r="J22" t="s">
        <v>227</v>
      </c>
    </row>
    <row r="23" spans="1:11" ht="15">
      <c r="J23" s="208">
        <f>J16</f>
        <v>296248288.96002156</v>
      </c>
    </row>
    <row r="25" spans="1:11" ht="15">
      <c r="H25" t="str">
        <f>Escenarios!H16</f>
        <v>Reduccion de mortalidad</v>
      </c>
    </row>
    <row r="26" spans="1:11" ht="15">
      <c r="H26" s="209">
        <f>((J23*J21)+(J28*J26))+E36</f>
        <v>1394088.6324284077</v>
      </c>
      <c r="I26" s="177"/>
      <c r="J26">
        <f>K14</f>
        <v>0.4</v>
      </c>
    </row>
    <row r="27" spans="1:11" ht="15">
      <c r="J27" t="s">
        <v>228</v>
      </c>
    </row>
    <row r="28" spans="1:11" ht="15">
      <c r="J28" s="208">
        <f>K16</f>
        <v>295522788.14103866</v>
      </c>
    </row>
    <row r="29" spans="1:11" ht="15">
      <c r="H29" s="208"/>
      <c r="J29" s="10"/>
    </row>
    <row r="30" spans="1:11" ht="15">
      <c r="J30" s="10"/>
    </row>
    <row r="31" spans="1:11" ht="15">
      <c r="J31">
        <f>J14</f>
        <v>0.6</v>
      </c>
    </row>
    <row r="32" spans="1:11" ht="15">
      <c r="J32" t="s">
        <v>227</v>
      </c>
    </row>
    <row r="33" spans="2:10" ht="15">
      <c r="J33" s="208">
        <f>J17</f>
        <v>781101298.46328247</v>
      </c>
    </row>
    <row r="35" spans="2:10" ht="15">
      <c r="E35" t="s">
        <v>234</v>
      </c>
      <c r="H35" t="str">
        <f>H17</f>
        <v>Aumento de producción</v>
      </c>
    </row>
    <row r="36" spans="2:10" ht="15">
      <c r="E36" s="210">
        <f>'Flujo de Inversion simple'!F33*-1</f>
        <v>-294564000</v>
      </c>
      <c r="H36" s="210">
        <f>((J33*J31)+(J38*J36))+E36</f>
        <v>389131967.10698855</v>
      </c>
      <c r="I36" s="176"/>
      <c r="J36">
        <f>K14</f>
        <v>0.4</v>
      </c>
    </row>
    <row r="37" spans="2:10" ht="15">
      <c r="E37" s="172" t="s">
        <v>235</v>
      </c>
      <c r="J37" t="s">
        <v>228</v>
      </c>
    </row>
    <row r="38" spans="2:10" ht="15">
      <c r="E38" s="208">
        <f>MAX(H26,H36,H46)</f>
        <v>389131967.10698855</v>
      </c>
      <c r="J38" s="208">
        <f>K17</f>
        <v>537587970.07254755</v>
      </c>
    </row>
    <row r="40" spans="2:10">
      <c r="H40" s="208"/>
    </row>
    <row r="42" spans="2:10" ht="15">
      <c r="J42">
        <f>J14</f>
        <v>0.6</v>
      </c>
    </row>
    <row r="43" spans="2:10" ht="15">
      <c r="J43" s="10" t="s">
        <v>227</v>
      </c>
    </row>
    <row r="44" spans="2:10" ht="15">
      <c r="J44" s="208">
        <f>J18</f>
        <v>725514895.69211996</v>
      </c>
    </row>
    <row r="45" spans="2:10" ht="15">
      <c r="H45" t="str">
        <f>H18</f>
        <v>Disminuir costos variables</v>
      </c>
    </row>
    <row r="46" spans="2:10" ht="15">
      <c r="H46" s="208">
        <f>((J44*J42))+(J46*J48)+E36</f>
        <v>358796790.29249692</v>
      </c>
      <c r="I46" s="10"/>
      <c r="J46">
        <f>K14</f>
        <v>0.4</v>
      </c>
    </row>
    <row r="47" spans="2:10" ht="15">
      <c r="J47" t="s">
        <v>228</v>
      </c>
    </row>
    <row r="48" spans="2:10" ht="15">
      <c r="B48" s="247" t="s">
        <v>236</v>
      </c>
      <c r="J48" s="208">
        <f>K18</f>
        <v>545129632.19306242</v>
      </c>
    </row>
    <row r="49" spans="2:10" ht="15">
      <c r="B49" s="247"/>
    </row>
    <row r="50" spans="2:10" ht="15">
      <c r="B50" s="247"/>
    </row>
    <row r="51" spans="2:10" ht="15">
      <c r="D51" s="208">
        <f>E38-E67</f>
        <v>46429189.556262672</v>
      </c>
      <c r="J51">
        <f>C14</f>
        <v>0.6</v>
      </c>
    </row>
    <row r="52" spans="2:10" ht="15">
      <c r="J52" t="s">
        <v>227</v>
      </c>
    </row>
    <row r="53" spans="2:10" ht="15">
      <c r="J53" s="208">
        <f>C16</f>
        <v>47335005.968144059</v>
      </c>
    </row>
    <row r="55" spans="2:10" ht="15">
      <c r="H55" t="str">
        <f>B16</f>
        <v>Reduccion de mortalidad</v>
      </c>
    </row>
    <row r="56" spans="2:10" ht="15">
      <c r="H56" s="208">
        <f>J51*J53+J58*J56</f>
        <v>44835809.316200949</v>
      </c>
      <c r="I56" s="10"/>
      <c r="J56">
        <f>D14</f>
        <v>0.4</v>
      </c>
    </row>
    <row r="57" spans="2:10" ht="15">
      <c r="J57" t="s">
        <v>228</v>
      </c>
    </row>
    <row r="58" spans="2:10" ht="15">
      <c r="J58" s="208">
        <f>D16</f>
        <v>41087014.338286281</v>
      </c>
    </row>
    <row r="59" spans="2:10" ht="15">
      <c r="J59" s="10"/>
    </row>
    <row r="60" spans="2:10" ht="15">
      <c r="J60" s="10"/>
    </row>
    <row r="61" spans="2:10" ht="15">
      <c r="J61">
        <f>C14</f>
        <v>0.6</v>
      </c>
    </row>
    <row r="62" spans="2:10" ht="15">
      <c r="J62" t="s">
        <v>227</v>
      </c>
    </row>
    <row r="63" spans="2:10" ht="15">
      <c r="J63" s="208">
        <f>C17</f>
        <v>419657453.84533417</v>
      </c>
    </row>
    <row r="64" spans="2:10" ht="15">
      <c r="E64" s="244" t="s">
        <v>237</v>
      </c>
    </row>
    <row r="65" spans="5:10" ht="15">
      <c r="E65" s="244"/>
      <c r="H65" t="str">
        <f>B17</f>
        <v>Aumento de producción</v>
      </c>
    </row>
    <row r="66" spans="5:10" ht="15">
      <c r="E66" s="172" t="s">
        <v>238</v>
      </c>
      <c r="H66" s="208">
        <f>J63*J61+J68*J66</f>
        <v>342702777.55072588</v>
      </c>
      <c r="I66" s="10"/>
      <c r="J66">
        <f>D14</f>
        <v>0.4</v>
      </c>
    </row>
    <row r="67" spans="5:10" ht="15">
      <c r="E67" s="210">
        <f>MAX(H56,H66,H76)</f>
        <v>342702777.55072588</v>
      </c>
      <c r="J67" t="s">
        <v>228</v>
      </c>
    </row>
    <row r="68" spans="5:10" ht="15">
      <c r="J68" s="208">
        <f>D17</f>
        <v>227270763.10881341</v>
      </c>
    </row>
    <row r="71" spans="5:10" ht="15">
      <c r="J71">
        <f>C14</f>
        <v>0.6</v>
      </c>
    </row>
    <row r="72" spans="5:10" ht="15">
      <c r="J72" t="s">
        <v>227</v>
      </c>
    </row>
    <row r="73" spans="5:10" ht="15">
      <c r="J73" s="208">
        <f>C18</f>
        <v>153997078.6988759</v>
      </c>
    </row>
    <row r="74" spans="5:10" ht="15">
      <c r="J74" s="10"/>
    </row>
    <row r="75" spans="5:10" ht="15">
      <c r="H75" t="str">
        <f>B18</f>
        <v>Disminuir costos variables</v>
      </c>
    </row>
    <row r="76" spans="5:10" ht="15">
      <c r="H76" s="208">
        <f>J73*J71+J78*J76</f>
        <v>130174477.43355966</v>
      </c>
      <c r="I76" s="10"/>
      <c r="J76">
        <f>D14</f>
        <v>0.4</v>
      </c>
    </row>
    <row r="77" spans="5:10" ht="15">
      <c r="J77" t="s">
        <v>228</v>
      </c>
    </row>
    <row r="78" spans="5:10" ht="15">
      <c r="J78" s="208">
        <f>D18</f>
        <v>94440575.535585284</v>
      </c>
    </row>
  </sheetData>
  <mergeCells count="14">
    <mergeCell ref="H2:I2"/>
    <mergeCell ref="A13:B13"/>
    <mergeCell ref="C13:D13"/>
    <mergeCell ref="G13:H13"/>
    <mergeCell ref="J13:K13"/>
    <mergeCell ref="E64:E65"/>
    <mergeCell ref="H3:I3"/>
    <mergeCell ref="H4:I4"/>
    <mergeCell ref="H5:I5"/>
    <mergeCell ref="B48:B50"/>
    <mergeCell ref="H15:I15"/>
    <mergeCell ref="H18:I18"/>
    <mergeCell ref="H17:I17"/>
    <mergeCell ref="H16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A3FF-FBF7-1C40-B70D-53EAC7E5885F}">
  <dimension ref="A1:BM28"/>
  <sheetViews>
    <sheetView showGridLines="0" topLeftCell="A6" zoomScaleNormal="80" zoomScaleSheetLayoutView="100" workbookViewId="0">
      <selection activeCell="E26" sqref="E26"/>
    </sheetView>
  </sheetViews>
  <sheetFormatPr baseColWidth="10" defaultColWidth="9.125" defaultRowHeight="14.25"/>
  <cols>
    <col min="1" max="1" width="25" customWidth="1"/>
    <col min="2" max="2" width="16" bestFit="1" customWidth="1"/>
    <col min="3" max="3" width="15.375" customWidth="1"/>
    <col min="4" max="4" width="16.375" customWidth="1"/>
    <col min="5" max="5" width="16.5" customWidth="1"/>
    <col min="6" max="6" width="17.25" customWidth="1"/>
    <col min="7" max="7" width="16.25" customWidth="1"/>
    <col min="8" max="8" width="15.25" customWidth="1"/>
    <col min="9" max="9" width="15.875" customWidth="1"/>
    <col min="10" max="10" width="18" customWidth="1"/>
    <col min="11" max="11" width="15.875" customWidth="1"/>
    <col min="12" max="12" width="15.625" customWidth="1"/>
    <col min="13" max="13" width="13.875" customWidth="1"/>
    <col min="14" max="14" width="14.75" customWidth="1"/>
    <col min="15" max="15" width="15.75" customWidth="1"/>
    <col min="16" max="16" width="14.75" customWidth="1"/>
    <col min="17" max="17" width="14.375" customWidth="1"/>
    <col min="18" max="18" width="15.5" customWidth="1"/>
    <col min="19" max="19" width="14.625" customWidth="1"/>
    <col min="20" max="20" width="15.375" customWidth="1"/>
    <col min="21" max="21" width="14.25" customWidth="1"/>
    <col min="22" max="22" width="15.375" bestFit="1" customWidth="1"/>
    <col min="23" max="24" width="14.125" bestFit="1" customWidth="1"/>
    <col min="25" max="25" width="15.375" bestFit="1" customWidth="1"/>
    <col min="26" max="28" width="14.125" bestFit="1" customWidth="1"/>
    <col min="29" max="29" width="15.375" bestFit="1" customWidth="1"/>
    <col min="30" max="32" width="14.125" bestFit="1" customWidth="1"/>
    <col min="33" max="33" width="15.375" bestFit="1" customWidth="1"/>
    <col min="34" max="36" width="14.125" bestFit="1" customWidth="1"/>
    <col min="37" max="37" width="15.375" bestFit="1" customWidth="1"/>
    <col min="38" max="40" width="14.125" bestFit="1" customWidth="1"/>
    <col min="41" max="41" width="15.375" bestFit="1" customWidth="1"/>
    <col min="42" max="44" width="14.125" bestFit="1" customWidth="1"/>
    <col min="45" max="45" width="15.375" bestFit="1" customWidth="1"/>
    <col min="46" max="48" width="14.125" bestFit="1" customWidth="1"/>
    <col min="49" max="49" width="15.375" bestFit="1" customWidth="1"/>
    <col min="50" max="52" width="14.125" bestFit="1" customWidth="1"/>
    <col min="53" max="53" width="15.375" bestFit="1" customWidth="1"/>
    <col min="54" max="56" width="14.125" bestFit="1" customWidth="1"/>
    <col min="57" max="57" width="15.375" bestFit="1" customWidth="1"/>
    <col min="58" max="60" width="14.125" bestFit="1" customWidth="1"/>
    <col min="61" max="61" width="15.375" bestFit="1" customWidth="1"/>
    <col min="62" max="63" width="14.125" bestFit="1" customWidth="1"/>
    <col min="64" max="64" width="16.25" customWidth="1"/>
  </cols>
  <sheetData>
    <row r="1" spans="1:65" ht="15">
      <c r="A1" s="64" t="s">
        <v>31</v>
      </c>
      <c r="B1" s="64"/>
      <c r="C1" s="64"/>
      <c r="D1" s="64"/>
      <c r="E1" s="64"/>
      <c r="F1" s="64"/>
      <c r="G1" s="64"/>
      <c r="H1" s="64"/>
      <c r="I1" s="64"/>
    </row>
    <row r="2" spans="1:65" ht="15">
      <c r="A2" s="33"/>
      <c r="B2" s="212" t="s">
        <v>32</v>
      </c>
      <c r="C2" s="212"/>
      <c r="D2" s="212"/>
      <c r="E2" s="212"/>
      <c r="F2" s="212" t="s">
        <v>33</v>
      </c>
      <c r="G2" s="212"/>
      <c r="H2" s="212"/>
      <c r="I2" s="212"/>
      <c r="J2" s="213" t="s">
        <v>34</v>
      </c>
      <c r="K2" s="213"/>
      <c r="L2" s="213"/>
      <c r="M2" s="213"/>
      <c r="N2" s="213" t="s">
        <v>35</v>
      </c>
      <c r="O2" s="213"/>
      <c r="P2" s="213"/>
      <c r="Q2" s="213"/>
      <c r="R2" s="213" t="s">
        <v>36</v>
      </c>
      <c r="S2" s="213"/>
      <c r="T2" s="213"/>
      <c r="U2" s="213"/>
      <c r="V2" s="213" t="s">
        <v>37</v>
      </c>
      <c r="W2" s="213"/>
      <c r="X2" s="213"/>
      <c r="Y2" s="213"/>
      <c r="Z2" s="213" t="s">
        <v>38</v>
      </c>
      <c r="AA2" s="213"/>
      <c r="AB2" s="213"/>
      <c r="AC2" s="213"/>
      <c r="AD2" s="213" t="s">
        <v>39</v>
      </c>
      <c r="AE2" s="213"/>
      <c r="AF2" s="213"/>
      <c r="AG2" s="213"/>
      <c r="AH2" s="213" t="s">
        <v>40</v>
      </c>
      <c r="AI2" s="213"/>
      <c r="AJ2" s="213"/>
      <c r="AK2" s="213"/>
      <c r="AL2" s="213" t="s">
        <v>41</v>
      </c>
      <c r="AM2" s="213"/>
      <c r="AN2" s="213"/>
      <c r="AO2" s="213"/>
      <c r="AP2" s="213" t="s">
        <v>42</v>
      </c>
      <c r="AQ2" s="213"/>
      <c r="AR2" s="213"/>
      <c r="AS2" s="213"/>
      <c r="AT2" s="213" t="s">
        <v>43</v>
      </c>
      <c r="AU2" s="213"/>
      <c r="AV2" s="213"/>
      <c r="AW2" s="213"/>
      <c r="AX2" s="213" t="s">
        <v>44</v>
      </c>
      <c r="AY2" s="213"/>
      <c r="AZ2" s="213"/>
      <c r="BA2" s="213"/>
      <c r="BB2" s="213" t="s">
        <v>45</v>
      </c>
      <c r="BC2" s="213"/>
      <c r="BD2" s="213"/>
      <c r="BE2" s="213"/>
      <c r="BF2" s="213" t="s">
        <v>46</v>
      </c>
      <c r="BG2" s="213"/>
      <c r="BH2" s="213"/>
      <c r="BI2" s="213"/>
      <c r="BJ2" s="213" t="s">
        <v>47</v>
      </c>
      <c r="BK2" s="213"/>
      <c r="BL2" s="213"/>
    </row>
    <row r="3" spans="1:65" ht="15">
      <c r="A3" s="18" t="s">
        <v>48</v>
      </c>
      <c r="B3" s="18">
        <v>18</v>
      </c>
      <c r="C3" s="18">
        <v>19</v>
      </c>
      <c r="D3" s="18">
        <v>20</v>
      </c>
      <c r="E3" s="18">
        <v>21</v>
      </c>
      <c r="F3" s="18">
        <v>22</v>
      </c>
      <c r="G3" s="18">
        <v>23</v>
      </c>
      <c r="H3" s="18">
        <v>24</v>
      </c>
      <c r="I3" s="18">
        <v>25</v>
      </c>
      <c r="J3" s="18">
        <v>26</v>
      </c>
      <c r="K3" s="18">
        <v>27</v>
      </c>
      <c r="L3" s="18">
        <v>28</v>
      </c>
      <c r="M3" s="18">
        <v>29</v>
      </c>
      <c r="N3" s="18">
        <v>30</v>
      </c>
      <c r="O3" s="18">
        <v>31</v>
      </c>
      <c r="P3" s="18">
        <v>32</v>
      </c>
      <c r="Q3" s="18">
        <v>33</v>
      </c>
      <c r="R3" s="18">
        <v>34</v>
      </c>
      <c r="S3" s="18">
        <v>35</v>
      </c>
      <c r="T3" s="18">
        <v>36</v>
      </c>
      <c r="U3" s="18">
        <v>37</v>
      </c>
      <c r="V3" s="18">
        <v>38</v>
      </c>
      <c r="W3" s="18">
        <v>39</v>
      </c>
      <c r="X3" s="18">
        <v>40</v>
      </c>
      <c r="Y3" s="18">
        <v>41</v>
      </c>
      <c r="Z3" s="18">
        <v>42</v>
      </c>
      <c r="AA3" s="18">
        <v>43</v>
      </c>
      <c r="AB3" s="18">
        <v>44</v>
      </c>
      <c r="AC3" s="18">
        <v>45</v>
      </c>
      <c r="AD3" s="18">
        <v>46</v>
      </c>
      <c r="AE3" s="18">
        <v>47</v>
      </c>
      <c r="AF3" s="18">
        <v>48</v>
      </c>
      <c r="AG3" s="18">
        <v>49</v>
      </c>
      <c r="AH3" s="18">
        <v>50</v>
      </c>
      <c r="AI3" s="18">
        <v>51</v>
      </c>
      <c r="AJ3" s="18">
        <v>52</v>
      </c>
      <c r="AK3" s="18">
        <v>53</v>
      </c>
      <c r="AL3" s="18">
        <v>54</v>
      </c>
      <c r="AM3" s="18">
        <v>55</v>
      </c>
      <c r="AN3" s="18">
        <v>56</v>
      </c>
      <c r="AO3" s="18">
        <v>57</v>
      </c>
      <c r="AP3" s="18">
        <v>58</v>
      </c>
      <c r="AQ3" s="18">
        <v>59</v>
      </c>
      <c r="AR3" s="18">
        <v>60</v>
      </c>
      <c r="AS3" s="18">
        <v>61</v>
      </c>
      <c r="AT3" s="18">
        <v>62</v>
      </c>
      <c r="AU3" s="18">
        <v>63</v>
      </c>
      <c r="AV3" s="18">
        <v>64</v>
      </c>
      <c r="AW3" s="18">
        <v>65</v>
      </c>
      <c r="AX3" s="18">
        <v>66</v>
      </c>
      <c r="AY3" s="18">
        <v>67</v>
      </c>
      <c r="AZ3" s="18">
        <v>68</v>
      </c>
      <c r="BA3" s="18">
        <v>69</v>
      </c>
      <c r="BB3" s="18">
        <v>70</v>
      </c>
      <c r="BC3" s="18">
        <v>71</v>
      </c>
      <c r="BD3" s="18">
        <v>72</v>
      </c>
      <c r="BE3" s="18">
        <v>73</v>
      </c>
      <c r="BF3" s="18">
        <v>74</v>
      </c>
      <c r="BG3" s="18">
        <v>75</v>
      </c>
      <c r="BH3" s="18">
        <v>76</v>
      </c>
      <c r="BI3" s="18">
        <v>77</v>
      </c>
      <c r="BJ3" s="18">
        <v>78</v>
      </c>
      <c r="BK3" s="18">
        <v>79</v>
      </c>
      <c r="BL3" s="18">
        <v>80</v>
      </c>
      <c r="BM3" s="32"/>
    </row>
    <row r="4" spans="1:65" ht="15">
      <c r="A4" s="15" t="s">
        <v>49</v>
      </c>
      <c r="B4" s="35">
        <f>(Flujograma!E6)</f>
        <v>35864.734523636362</v>
      </c>
      <c r="C4" s="36">
        <f>(Flujograma!F6)</f>
        <v>35704.190930186924</v>
      </c>
      <c r="D4" s="36">
        <f>(Flujograma!G6)</f>
        <v>35544.365988241254</v>
      </c>
      <c r="E4" s="36">
        <f>(Flujograma!H6)</f>
        <v>35385.256480853888</v>
      </c>
      <c r="F4" s="36">
        <f>(Flujograma!I6)</f>
        <v>35226.859205479595</v>
      </c>
      <c r="G4" s="36">
        <f>(Flujograma!J6)</f>
        <v>35069.170973908884</v>
      </c>
      <c r="H4" s="36">
        <f>(Flujograma!K6)</f>
        <v>34912.188612203856</v>
      </c>
      <c r="I4" s="36">
        <f>(Flujograma!L6)</f>
        <v>34755.908960634319</v>
      </c>
      <c r="J4" s="36">
        <f>(Flujograma!M6)</f>
        <v>34600.328873614169</v>
      </c>
      <c r="K4" s="36">
        <f>(Flujograma!N6)</f>
        <v>34445.445219638103</v>
      </c>
      <c r="L4" s="36">
        <f>(Flujograma!O6)</f>
        <v>34291.254881218556</v>
      </c>
      <c r="M4" s="36">
        <f>(Flujograma!P6)</f>
        <v>34137.754754822992</v>
      </c>
      <c r="N4" s="36">
        <f>(Flujograma!Q6)</f>
        <v>33984.941750811406</v>
      </c>
      <c r="O4" s="36">
        <f>(Flujograma!R6)</f>
        <v>33832.812793374134</v>
      </c>
      <c r="P4" s="36">
        <f>(Flujograma!S6)</f>
        <v>33681.364820469978</v>
      </c>
      <c r="Q4" s="36">
        <f>(Flujograma!T6)</f>
        <v>33530.594783764529</v>
      </c>
      <c r="R4" s="36">
        <f>(Flujograma!U6)</f>
        <v>33380.499648568839</v>
      </c>
      <c r="S4" s="36">
        <f>(Flujograma!V6)</f>
        <v>33231.076393778334</v>
      </c>
      <c r="T4" s="36">
        <f>(Flujograma!W6)</f>
        <v>33082.322011812001</v>
      </c>
      <c r="U4" s="36">
        <f>(Flujograma!X6)</f>
        <v>32934.23350855185</v>
      </c>
      <c r="V4" s="36">
        <f>(Flujograma!Y6)</f>
        <v>32786.807903282657</v>
      </c>
      <c r="W4" s="36">
        <f>(Flujograma!Z6)</f>
        <v>32640.042228631963</v>
      </c>
      <c r="X4" s="36">
        <f>(Flujograma!AA6)</f>
        <v>32493.933530510341</v>
      </c>
      <c r="Y4" s="36">
        <f>(Flujograma!AB6)</f>
        <v>32348.478868051949</v>
      </c>
      <c r="Z4" s="36">
        <f>(Flujograma!AC6)</f>
        <v>32203.675313555323</v>
      </c>
      <c r="AA4" s="36">
        <f>(Flujograma!AD6)</f>
        <v>32059.519952424464</v>
      </c>
      <c r="AB4" s="36">
        <f>(Flujograma!AE6)</f>
        <v>31916.009883110157</v>
      </c>
      <c r="AC4" s="36">
        <f>(Flujograma!AF6)</f>
        <v>31773.14221705158</v>
      </c>
      <c r="AD4" s="36">
        <f>(Flujograma!AG6)</f>
        <v>31630.91407861816</v>
      </c>
      <c r="AE4" s="36">
        <f>(Flujograma!AH6)</f>
        <v>31489.32260505169</v>
      </c>
      <c r="AF4" s="36">
        <f>(Flujograma!AI6)</f>
        <v>31348.364946408714</v>
      </c>
      <c r="AG4" s="36">
        <f>(Flujograma!AJ6)</f>
        <v>31208.038265503154</v>
      </c>
      <c r="AH4" s="36">
        <f>(Flujograma!AK6)</f>
        <v>31068.339737849212</v>
      </c>
      <c r="AI4" s="36">
        <f>(Flujograma!AL6)</f>
        <v>30929.266551604513</v>
      </c>
      <c r="AJ4" s="36">
        <f>(Flujograma!AM6)</f>
        <v>30790.815907513512</v>
      </c>
      <c r="AK4" s="36">
        <f>(Flujograma!AN6)</f>
        <v>30652.985018851152</v>
      </c>
      <c r="AL4" s="36">
        <f>(Flujograma!AO6)</f>
        <v>30515.771111366768</v>
      </c>
      <c r="AM4" s="36">
        <f>(Flujograma!AP6)</f>
        <v>30379.17142322825</v>
      </c>
      <c r="AN4" s="36">
        <f>(Flujograma!AQ6)</f>
        <v>30243.183204966455</v>
      </c>
      <c r="AO4" s="36">
        <f>(Flujograma!AR6)</f>
        <v>30107.803719419859</v>
      </c>
      <c r="AP4" s="36">
        <f>(Flujograma!AS6)</f>
        <v>29973.030241679473</v>
      </c>
      <c r="AQ4" s="36">
        <f>(Flujograma!AT6)</f>
        <v>29838.860059033992</v>
      </c>
      <c r="AR4" s="36">
        <f>(Flujograma!AU6)</f>
        <v>29705.290470915188</v>
      </c>
      <c r="AS4" s="36">
        <f>(Flujograma!AV6)</f>
        <v>29572.318788843564</v>
      </c>
      <c r="AT4" s="36">
        <f>(Flujograma!AW6)</f>
        <v>29439.942336374232</v>
      </c>
      <c r="AU4" s="36">
        <f>(Flujograma!AX6)</f>
        <v>29308.158449043043</v>
      </c>
      <c r="AV4" s="36">
        <f>(Flujograma!AY6)</f>
        <v>29176.964474312965</v>
      </c>
      <c r="AW4" s="36">
        <f>(Flujograma!AZ6)</f>
        <v>29046.357771520677</v>
      </c>
      <c r="AX4" s="36">
        <f>(Flujograma!BA6)</f>
        <v>28916.335711823434</v>
      </c>
      <c r="AY4" s="36">
        <f>(Flujograma!BB6)</f>
        <v>28786.895678146146</v>
      </c>
      <c r="AZ4" s="36">
        <f>(Flujograma!BC5)</f>
        <v>128.86061301744695</v>
      </c>
      <c r="BA4" s="36">
        <f>(Flujograma!BD6)</f>
        <v>28529.75127907352</v>
      </c>
      <c r="BB4" s="36">
        <f>(Flujograma!BE6)</f>
        <v>28402.041737893378</v>
      </c>
      <c r="BC4" s="36">
        <f>(Flujograma!BF6)</f>
        <v>28274.903871059389</v>
      </c>
      <c r="BD4" s="36">
        <f>(Flujograma!BG6)</f>
        <v>28148.335119549301</v>
      </c>
      <c r="BE4" s="36">
        <f>(Flujograma!BH6)</f>
        <v>28022.332935795974</v>
      </c>
      <c r="BF4" s="36">
        <f>(Flujograma!BI6)</f>
        <v>27896.8947836361</v>
      </c>
      <c r="BG4" s="36">
        <f>(Flujograma!BJ6)</f>
        <v>27772.018138259169</v>
      </c>
      <c r="BH4" s="36">
        <f>(Flujograma!BK6)</f>
        <v>27647.700486156635</v>
      </c>
      <c r="BI4" s="36">
        <f>(Flujograma!BL6)</f>
        <v>27523.939325071329</v>
      </c>
      <c r="BJ4" s="36">
        <f>(Flujograma!BM6)</f>
        <v>27400.732163947101</v>
      </c>
      <c r="BK4" s="37">
        <f>(Flujograma!BN6)</f>
        <v>27278.076522878669</v>
      </c>
      <c r="BL4" s="36">
        <f>(Flujograma!BO6)</f>
        <v>27155.969933061711</v>
      </c>
      <c r="BM4" s="34"/>
    </row>
    <row r="5" spans="1:65" ht="15">
      <c r="A5" s="5" t="str">
        <f>(Flujograma!D7)</f>
        <v>Consumo kg/ave</v>
      </c>
      <c r="B5" s="38">
        <f>(Flujograma!E7)</f>
        <v>27141.355145452289</v>
      </c>
      <c r="C5" s="39">
        <f>(Flujograma!F7)</f>
        <v>27019.860570237553</v>
      </c>
      <c r="D5" s="39">
        <f>(Flujograma!G7)</f>
        <v>26898.909848921332</v>
      </c>
      <c r="E5" s="39">
        <f>(Flujograma!H7)</f>
        <v>26778.500547015796</v>
      </c>
      <c r="F5" s="39">
        <f>(Flujograma!I7)</f>
        <v>26658.630240930794</v>
      </c>
      <c r="G5" s="39">
        <f>(Flujograma!J7)</f>
        <v>26539.296517925024</v>
      </c>
      <c r="H5" s="39">
        <f>(Flujograma!K7)</f>
        <v>26420.496976057511</v>
      </c>
      <c r="I5" s="39">
        <f>(Flujograma!L7)</f>
        <v>26302.229224139235</v>
      </c>
      <c r="J5" s="39">
        <f>(Flujograma!M7)</f>
        <v>26184.490881684997</v>
      </c>
      <c r="K5" s="39">
        <f>(Flujograma!N7)</f>
        <v>26067.279578865528</v>
      </c>
      <c r="L5" s="39">
        <f>(Flujograma!O7)</f>
        <v>25950.592956459765</v>
      </c>
      <c r="M5" s="39">
        <f>(Flujograma!P7)</f>
        <v>25834.428665807398</v>
      </c>
      <c r="N5" s="39">
        <f>(Flujograma!Q7)</f>
        <v>25718.784368761546</v>
      </c>
      <c r="O5" s="39">
        <f>(Flujograma!R7)</f>
        <v>25603.657737641744</v>
      </c>
      <c r="P5" s="39">
        <f>(Flujograma!S7)</f>
        <v>25489.046455187065</v>
      </c>
      <c r="Q5" s="39">
        <f>(Flujograma!T7)</f>
        <v>25374.948214509484</v>
      </c>
      <c r="R5" s="39">
        <f>(Flujograma!U7)</f>
        <v>25261.360719047439</v>
      </c>
      <c r="S5" s="39">
        <f>(Flujograma!V7)</f>
        <v>25148.281682519628</v>
      </c>
      <c r="T5" s="39">
        <f>(Flujograma!W7)</f>
        <v>25035.708828878964</v>
      </c>
      <c r="U5" s="39">
        <f>(Flujograma!X7)</f>
        <v>24923.639892266783</v>
      </c>
      <c r="V5" s="39">
        <f>(Flujograma!Y7)</f>
        <v>24812.072616967216</v>
      </c>
      <c r="W5" s="39">
        <f>(Flujograma!Z7)</f>
        <v>24701.004757361807</v>
      </c>
      <c r="X5" s="39">
        <f>(Flujograma!AA7)</f>
        <v>24590.434077884311</v>
      </c>
      <c r="Y5" s="39">
        <f>(Flujograma!AB7)</f>
        <v>24480.358352975669</v>
      </c>
      <c r="Z5" s="39">
        <f>(Flujograma!AC7)</f>
        <v>24370.775367039259</v>
      </c>
      <c r="AA5" s="39">
        <f>(Flujograma!AD7)</f>
        <v>24261.68291439626</v>
      </c>
      <c r="AB5" s="39">
        <f>(Flujograma!AE7)</f>
        <v>24153.07879924127</v>
      </c>
      <c r="AC5" s="39">
        <f>(Flujograma!AF7)</f>
        <v>24044.960835598125</v>
      </c>
      <c r="AD5" s="39">
        <f>(Flujograma!AG7)</f>
        <v>23937.326847275865</v>
      </c>
      <c r="AE5" s="39">
        <f>(Flujograma!AH7)</f>
        <v>23830.174667824969</v>
      </c>
      <c r="AF5" s="39">
        <f>(Flujograma!AI7)</f>
        <v>23723.502140493722</v>
      </c>
      <c r="AG5" s="39">
        <f>(Flujograma!AJ7)</f>
        <v>23617.307118184825</v>
      </c>
      <c r="AH5" s="39">
        <f>(Flujograma!AK7)</f>
        <v>23511.58746341215</v>
      </c>
      <c r="AI5" s="39">
        <f>(Flujograma!AL7)</f>
        <v>23406.341048257749</v>
      </c>
      <c r="AJ5" s="39">
        <f>(Flujograma!AM7)</f>
        <v>23301.565754329</v>
      </c>
      <c r="AK5" s="39">
        <f>(Flujograma!AN7)</f>
        <v>23197.259472715985</v>
      </c>
      <c r="AL5" s="39">
        <f>(Flujograma!AO7)</f>
        <v>23093.420103949029</v>
      </c>
      <c r="AM5" s="39">
        <f>(Flujograma!AP7)</f>
        <v>22990.04555795644</v>
      </c>
      <c r="AN5" s="39">
        <f>(Flujograma!AQ7)</f>
        <v>22887.133754022463</v>
      </c>
      <c r="AO5" s="39">
        <f>(Flujograma!AR7)</f>
        <v>22784.682620745367</v>
      </c>
      <c r="AP5" s="39">
        <f>(Flujograma!AS7)</f>
        <v>22682.690095995775</v>
      </c>
      <c r="AQ5" s="39">
        <f>(Flujograma!AT7)</f>
        <v>22581.154126875153</v>
      </c>
      <c r="AR5" s="39">
        <f>(Flujograma!AU7)</f>
        <v>22480.072669674486</v>
      </c>
      <c r="AS5" s="39">
        <f>(Flujograma!AV7)</f>
        <v>22379.443689833144</v>
      </c>
      <c r="AT5" s="39">
        <f>(Flujograma!AW7)</f>
        <v>22279.265161897929</v>
      </c>
      <c r="AU5" s="39">
        <f>(Flujograma!AX7)</f>
        <v>22179.535069482303</v>
      </c>
      <c r="AV5" s="39">
        <f>(Flujograma!AY7)</f>
        <v>22080.251405225819</v>
      </c>
      <c r="AW5" s="39">
        <f>(Flujograma!AZ7)</f>
        <v>21981.412170753702</v>
      </c>
      <c r="AX5" s="39">
        <f>(Flujograma!BA7)</f>
        <v>21883.01537663662</v>
      </c>
      <c r="AY5" s="39">
        <f>(Flujograma!BB7)</f>
        <v>21785.059042350662</v>
      </c>
      <c r="AZ5" s="39">
        <f>(Flujograma!BC6)</f>
        <v>28658.035065128697</v>
      </c>
      <c r="BA5" s="39">
        <f>(Flujograma!BD7)</f>
        <v>21590.459875464468</v>
      </c>
      <c r="BB5" s="39">
        <f>(Flujograma!BE7)</f>
        <v>21493.813125985573</v>
      </c>
      <c r="BC5" s="39">
        <f>(Flujograma!BF7)</f>
        <v>21397.599002501614</v>
      </c>
      <c r="BD5" s="39">
        <f>(Flujograma!BG7)</f>
        <v>21301.815568421323</v>
      </c>
      <c r="BE5" s="39">
        <f>(Flujograma!BH7)</f>
        <v>21206.460895822322</v>
      </c>
      <c r="BF5" s="39">
        <f>(Flujograma!BI7)</f>
        <v>21111.533065412292</v>
      </c>
      <c r="BG5" s="39">
        <f>(Flujograma!BJ7)</f>
        <v>21017.030166490389</v>
      </c>
      <c r="BH5" s="39">
        <f>(Flujograma!BK7)</f>
        <v>20922.950296908755</v>
      </c>
      <c r="BI5" s="39">
        <f>(Flujograma!BL7)</f>
        <v>20829.291563034229</v>
      </c>
      <c r="BJ5" s="39">
        <f>(Flujograma!BM7)</f>
        <v>20736.052079710244</v>
      </c>
      <c r="BK5" s="40">
        <f>(Flujograma!BN7)</f>
        <v>20643.22997021889</v>
      </c>
      <c r="BL5" s="39">
        <f>(Flujograma!BO7)</f>
        <v>20550.823366243112</v>
      </c>
      <c r="BM5" s="34"/>
    </row>
    <row r="6" spans="1:65" ht="15">
      <c r="A6" s="42" t="s">
        <v>50</v>
      </c>
      <c r="B6" s="43">
        <f t="shared" ref="B6:AG6" si="0">(B5*$B$12)</f>
        <v>8142406.5436356869</v>
      </c>
      <c r="C6" s="43">
        <f t="shared" si="0"/>
        <v>8105958.1710712658</v>
      </c>
      <c r="D6" s="43">
        <f t="shared" si="0"/>
        <v>8069672.9546763999</v>
      </c>
      <c r="E6" s="43">
        <f t="shared" si="0"/>
        <v>8033550.1641047383</v>
      </c>
      <c r="F6" s="43">
        <f t="shared" si="0"/>
        <v>7997589.0722792381</v>
      </c>
      <c r="G6" s="43">
        <f t="shared" si="0"/>
        <v>7961788.955377507</v>
      </c>
      <c r="H6" s="43">
        <f t="shared" si="0"/>
        <v>7926149.0928172534</v>
      </c>
      <c r="I6" s="43">
        <f t="shared" si="0"/>
        <v>7890668.7672417704</v>
      </c>
      <c r="J6" s="43">
        <f t="shared" si="0"/>
        <v>7855347.264505499</v>
      </c>
      <c r="K6" s="43">
        <f t="shared" si="0"/>
        <v>7820183.8736596582</v>
      </c>
      <c r="L6" s="43">
        <f t="shared" si="0"/>
        <v>7785177.8869379293</v>
      </c>
      <c r="M6" s="43">
        <f t="shared" si="0"/>
        <v>7750328.5997422198</v>
      </c>
      <c r="N6" s="43">
        <f t="shared" si="0"/>
        <v>7715635.3106284635</v>
      </c>
      <c r="O6" s="43">
        <f t="shared" si="0"/>
        <v>7681097.3212925233</v>
      </c>
      <c r="P6" s="43">
        <f t="shared" si="0"/>
        <v>7646713.9365561195</v>
      </c>
      <c r="Q6" s="43">
        <f t="shared" si="0"/>
        <v>7612484.4643528452</v>
      </c>
      <c r="R6" s="43">
        <f t="shared" si="0"/>
        <v>7578408.2157142321</v>
      </c>
      <c r="S6" s="43">
        <f t="shared" si="0"/>
        <v>7544484.5047558881</v>
      </c>
      <c r="T6" s="43">
        <f t="shared" si="0"/>
        <v>7510712.6486636894</v>
      </c>
      <c r="U6" s="43">
        <f t="shared" si="0"/>
        <v>7477091.9676800352</v>
      </c>
      <c r="V6" s="43">
        <f t="shared" si="0"/>
        <v>7443621.7850901652</v>
      </c>
      <c r="W6" s="43">
        <f t="shared" si="0"/>
        <v>7410301.4272085419</v>
      </c>
      <c r="X6" s="43">
        <f t="shared" si="0"/>
        <v>7377130.2233652929</v>
      </c>
      <c r="Y6" s="43">
        <f t="shared" si="0"/>
        <v>7344107.5058927005</v>
      </c>
      <c r="Z6" s="43">
        <f t="shared" si="0"/>
        <v>7311232.6101117777</v>
      </c>
      <c r="AA6" s="43">
        <f t="shared" si="0"/>
        <v>7278504.8743188782</v>
      </c>
      <c r="AB6" s="43">
        <f t="shared" si="0"/>
        <v>7245923.6397723807</v>
      </c>
      <c r="AC6" s="43">
        <f t="shared" si="0"/>
        <v>7213488.250679438</v>
      </c>
      <c r="AD6" s="43">
        <f t="shared" si="0"/>
        <v>7181198.0541827595</v>
      </c>
      <c r="AE6" s="43">
        <f t="shared" si="0"/>
        <v>7149052.4003474908</v>
      </c>
      <c r="AF6" s="43">
        <f t="shared" si="0"/>
        <v>7117050.6421481166</v>
      </c>
      <c r="AG6" s="43">
        <f t="shared" si="0"/>
        <v>7085192.1354554472</v>
      </c>
      <c r="AH6" s="43">
        <f t="shared" ref="AH6:BL6" si="1">(AH5*$B$12)</f>
        <v>7053476.2390236454</v>
      </c>
      <c r="AI6" s="43">
        <f t="shared" si="1"/>
        <v>7021902.3144773245</v>
      </c>
      <c r="AJ6" s="43">
        <f t="shared" si="1"/>
        <v>6990469.7262987001</v>
      </c>
      <c r="AK6" s="43">
        <f t="shared" si="1"/>
        <v>6959177.8418147955</v>
      </c>
      <c r="AL6" s="43">
        <f t="shared" si="1"/>
        <v>6928026.0311847087</v>
      </c>
      <c r="AM6" s="43">
        <f t="shared" si="1"/>
        <v>6897013.6673869323</v>
      </c>
      <c r="AN6" s="43">
        <f t="shared" si="1"/>
        <v>6866140.1262067389</v>
      </c>
      <c r="AO6" s="43">
        <f t="shared" si="1"/>
        <v>6835404.7862236099</v>
      </c>
      <c r="AP6" s="43">
        <f t="shared" si="1"/>
        <v>6804807.028798732</v>
      </c>
      <c r="AQ6" s="43">
        <f t="shared" si="1"/>
        <v>6774346.2380625457</v>
      </c>
      <c r="AR6" s="43">
        <f t="shared" si="1"/>
        <v>6744021.8009023461</v>
      </c>
      <c r="AS6" s="43">
        <f t="shared" si="1"/>
        <v>6713833.1069499431</v>
      </c>
      <c r="AT6" s="43">
        <f t="shared" si="1"/>
        <v>6683779.5485693784</v>
      </c>
      <c r="AU6" s="43">
        <f t="shared" si="1"/>
        <v>6653860.5208446905</v>
      </c>
      <c r="AV6" s="43">
        <f t="shared" si="1"/>
        <v>6624075.4215677455</v>
      </c>
      <c r="AW6" s="43">
        <f t="shared" si="1"/>
        <v>6594423.6512261108</v>
      </c>
      <c r="AX6" s="43">
        <f t="shared" si="1"/>
        <v>6564904.6129909856</v>
      </c>
      <c r="AY6" s="43">
        <f t="shared" si="1"/>
        <v>6535517.7127051987</v>
      </c>
      <c r="AZ6" s="43">
        <f t="shared" si="1"/>
        <v>8597410.5195386093</v>
      </c>
      <c r="BA6" s="43">
        <f t="shared" si="1"/>
        <v>6477137.9626393402</v>
      </c>
      <c r="BB6" s="43">
        <f t="shared" si="1"/>
        <v>6448143.9377956716</v>
      </c>
      <c r="BC6" s="43">
        <f t="shared" si="1"/>
        <v>6419279.7007504841</v>
      </c>
      <c r="BD6" s="43">
        <f t="shared" si="1"/>
        <v>6390544.6705263974</v>
      </c>
      <c r="BE6" s="43">
        <f t="shared" si="1"/>
        <v>6361938.2687466964</v>
      </c>
      <c r="BF6" s="43">
        <f t="shared" si="1"/>
        <v>6333459.9196236879</v>
      </c>
      <c r="BG6" s="43">
        <f t="shared" si="1"/>
        <v>6305109.0499471165</v>
      </c>
      <c r="BH6" s="43">
        <f t="shared" si="1"/>
        <v>6276885.089072627</v>
      </c>
      <c r="BI6" s="43">
        <f t="shared" si="1"/>
        <v>6248787.4689102685</v>
      </c>
      <c r="BJ6" s="43">
        <f t="shared" si="1"/>
        <v>6220815.623913073</v>
      </c>
      <c r="BK6" s="43">
        <f t="shared" si="1"/>
        <v>6192968.991065667</v>
      </c>
      <c r="BL6" s="43">
        <f t="shared" si="1"/>
        <v>6165247.0098729338</v>
      </c>
    </row>
    <row r="7" spans="1:65" ht="15">
      <c r="A7" s="4" t="s">
        <v>51</v>
      </c>
      <c r="B7" s="41">
        <f>(Flujograma!E20)</f>
        <v>35587.625084745763</v>
      </c>
      <c r="C7" s="41">
        <f>(Flujograma!F20)</f>
        <v>35510.41803371445</v>
      </c>
      <c r="D7" s="41">
        <f>(Flujograma!G20)</f>
        <v>35433.378482726053</v>
      </c>
      <c r="E7" s="41">
        <f>(Flujograma!H20)</f>
        <v>35356.506068390649</v>
      </c>
      <c r="F7" s="41">
        <f>(Flujograma!I20)</f>
        <v>35279.800428106682</v>
      </c>
      <c r="G7" s="41">
        <f>(Flujograma!J20)</f>
        <v>35203.261200059264</v>
      </c>
      <c r="H7" s="41">
        <f>(Flujograma!K20)</f>
        <v>35126.88802321846</v>
      </c>
      <c r="I7" s="41">
        <f>(Flujograma!L20)</f>
        <v>35050.680537337583</v>
      </c>
      <c r="J7" s="41">
        <f>(Flujograma!M20)</f>
        <v>34974.638382951496</v>
      </c>
      <c r="K7" s="41">
        <f>(Flujograma!N20)</f>
        <v>34898.761201374924</v>
      </c>
      <c r="L7" s="41">
        <f>(Flujograma!O20)</f>
        <v>34823.048634700754</v>
      </c>
      <c r="M7" s="41">
        <f>(Flujograma!P20)</f>
        <v>34747.500325798355</v>
      </c>
      <c r="N7" s="41">
        <f>(Flujograma!Q20)</f>
        <v>34672.11591831188</v>
      </c>
      <c r="O7" s="41">
        <f>(Flujograma!R20)</f>
        <v>34596.895056658592</v>
      </c>
      <c r="P7" s="41">
        <f>(Flujograma!S20)</f>
        <v>34521.837386027197</v>
      </c>
      <c r="Q7" s="41">
        <f>(Flujograma!T20)</f>
        <v>34446.942552376153</v>
      </c>
      <c r="R7" s="41">
        <f>(Flujograma!U20)</f>
        <v>34372.210202432012</v>
      </c>
      <c r="S7" s="41">
        <f>(Flujograma!V20)</f>
        <v>34297.639983687754</v>
      </c>
      <c r="T7" s="41">
        <f>(Flujograma!W20)</f>
        <v>34223.231544401111</v>
      </c>
      <c r="U7" s="41">
        <f>(Flujograma!X20)</f>
        <v>34148.98453359292</v>
      </c>
      <c r="V7" s="41">
        <f>(Flujograma!Y20)</f>
        <v>34074.898601045461</v>
      </c>
      <c r="W7" s="41">
        <f>(Flujograma!Z20)</f>
        <v>34000.973397300819</v>
      </c>
      <c r="X7" s="41">
        <f>(Flujograma!AA20)</f>
        <v>33927.20857365922</v>
      </c>
      <c r="Y7" s="41">
        <f>(Flujograma!AB20)</f>
        <v>33853.603782177386</v>
      </c>
      <c r="Z7" s="41">
        <f>(Flujograma!AC20)</f>
        <v>33780.158675666898</v>
      </c>
      <c r="AA7" s="41">
        <f>(Flujograma!AD20)</f>
        <v>33706.872907692574</v>
      </c>
      <c r="AB7" s="41">
        <f>(Flujograma!AE20)</f>
        <v>33633.746132570799</v>
      </c>
      <c r="AC7" s="41">
        <f>(Flujograma!AF20)</f>
        <v>33560.778005367931</v>
      </c>
      <c r="AD7" s="41">
        <f>(Flujograma!AG20)</f>
        <v>33487.968181898657</v>
      </c>
      <c r="AE7" s="41">
        <f>(Flujograma!AH20)</f>
        <v>33415.31631872437</v>
      </c>
      <c r="AF7" s="41">
        <f>(Flujograma!AI20)</f>
        <v>33342.822073151547</v>
      </c>
      <c r="AG7" s="41">
        <f>(Flujograma!AJ20)</f>
        <v>33270.48510323013</v>
      </c>
      <c r="AH7" s="41">
        <f>(Flujograma!AK20)</f>
        <v>33198.305067751935</v>
      </c>
      <c r="AI7" s="41">
        <f>(Flujograma!AL20)</f>
        <v>33126.281626249016</v>
      </c>
      <c r="AJ7" s="41">
        <f>(Flujograma!AM20)</f>
        <v>33054.414438992069</v>
      </c>
      <c r="AK7" s="41">
        <f>(Flujograma!AN20)</f>
        <v>32982.703166988831</v>
      </c>
      <c r="AL7" s="41">
        <f>(Flujograma!AO20)</f>
        <v>32911.147471982484</v>
      </c>
      <c r="AM7" s="41">
        <f>(Flujograma!AP20)</f>
        <v>32839.747016450048</v>
      </c>
      <c r="AN7" s="41">
        <f>(Flujograma!AQ20)</f>
        <v>32768.501463600798</v>
      </c>
      <c r="AO7" s="41">
        <f>(Flujograma!AR20)</f>
        <v>32697.41047737468</v>
      </c>
      <c r="AP7" s="41">
        <f>(Flujograma!AS20)</f>
        <v>32626.473722440714</v>
      </c>
      <c r="AQ7" s="41">
        <f>(Flujograma!AT20)</f>
        <v>32555.690864195418</v>
      </c>
      <c r="AR7" s="41">
        <f>(Flujograma!AU20)</f>
        <v>32485.06156876123</v>
      </c>
      <c r="AS7" s="41">
        <f>(Flujograma!AV20)</f>
        <v>32414.585502984934</v>
      </c>
      <c r="AT7" s="41">
        <f>(Flujograma!AW20)</f>
        <v>32344.262334436084</v>
      </c>
      <c r="AU7" s="41">
        <f>(Flujograma!AX20)</f>
        <v>32274.091731405442</v>
      </c>
      <c r="AV7" s="41">
        <f>(Flujograma!AY20)</f>
        <v>32204.073362903411</v>
      </c>
      <c r="AW7" s="41">
        <f>(Flujograma!AZ20)</f>
        <v>32134.206898658467</v>
      </c>
      <c r="AX7" s="41">
        <f>(Flujograma!BA20)</f>
        <v>32064.492009115616</v>
      </c>
      <c r="AY7" s="41">
        <f>(Flujograma!BB20)</f>
        <v>31994.928365434822</v>
      </c>
      <c r="AZ7" s="41">
        <f>(Flujograma!BC20)</f>
        <v>31925.515639489473</v>
      </c>
      <c r="BA7" s="41">
        <f>(Flujograma!BD20)</f>
        <v>31856.253503864817</v>
      </c>
      <c r="BB7" s="41">
        <f>(Flujograma!BE20)</f>
        <v>31787.141631856433</v>
      </c>
      <c r="BC7" s="41">
        <f>(Flujograma!BF20)</f>
        <v>31718.179697468677</v>
      </c>
      <c r="BD7" s="41">
        <f>(Flujograma!BG20)</f>
        <v>31649.367375413152</v>
      </c>
      <c r="BE7" s="41">
        <f>(Flujograma!BH20)</f>
        <v>31580.704341107172</v>
      </c>
      <c r="BF7" s="41">
        <f>(Flujograma!BI20)</f>
        <v>31512.190270672229</v>
      </c>
      <c r="BG7" s="41">
        <f>(Flujograma!BJ20)</f>
        <v>31443.824840932466</v>
      </c>
      <c r="BH7" s="41">
        <f>(Flujograma!BK20)</f>
        <v>31375.607729413154</v>
      </c>
      <c r="BI7" s="41">
        <f>(Flujograma!BL20)</f>
        <v>31307.538614339173</v>
      </c>
      <c r="BJ7" s="41">
        <f>(Flujograma!BM20)</f>
        <v>31239.617174633488</v>
      </c>
      <c r="BK7" s="41">
        <f>(Flujograma!BN20)</f>
        <v>31171.843089915637</v>
      </c>
      <c r="BL7" s="41">
        <f>(Flujograma!BO20)</f>
        <v>31104.216040500229</v>
      </c>
    </row>
    <row r="8" spans="1:65" ht="15">
      <c r="A8" s="4" t="s">
        <v>52</v>
      </c>
      <c r="B8" s="41">
        <f>(Flujograma!E21)</f>
        <v>27073.641659471188</v>
      </c>
      <c r="C8" s="41">
        <f>(Flujograma!F21)</f>
        <v>27014.905623328606</v>
      </c>
      <c r="D8" s="41">
        <f>(Flujograma!G21)</f>
        <v>26956.297014518674</v>
      </c>
      <c r="E8" s="41">
        <f>(Flujograma!H21)</f>
        <v>26897.81555658887</v>
      </c>
      <c r="F8" s="41">
        <f>(Flujograma!I21)</f>
        <v>26839.46097368644</v>
      </c>
      <c r="G8" s="41">
        <f>(Flujograma!J21)</f>
        <v>26781.232990557084</v>
      </c>
      <c r="H8" s="41">
        <f>(Flujograma!K21)</f>
        <v>26723.131332543679</v>
      </c>
      <c r="I8" s="41">
        <f>(Flujograma!L21)</f>
        <v>26665.15572558494</v>
      </c>
      <c r="J8" s="41">
        <f>(Flujograma!M21)</f>
        <v>26607.305896214184</v>
      </c>
      <c r="K8" s="41">
        <f>(Flujograma!N21)</f>
        <v>26549.581571557988</v>
      </c>
      <c r="L8" s="41">
        <f>(Flujograma!O21)</f>
        <v>26491.982479334947</v>
      </c>
      <c r="M8" s="41">
        <f>(Flujograma!P21)</f>
        <v>26434.50834785436</v>
      </c>
      <c r="N8" s="41">
        <f>(Flujograma!Q21)</f>
        <v>26377.158906014945</v>
      </c>
      <c r="O8" s="41">
        <f>(Flujograma!R21)</f>
        <v>26319.933883303594</v>
      </c>
      <c r="P8" s="41">
        <f>(Flujograma!S21)</f>
        <v>26262.833009794052</v>
      </c>
      <c r="Q8" s="41">
        <f>(Flujograma!T21)</f>
        <v>26205.856016145684</v>
      </c>
      <c r="R8" s="41">
        <f>(Flujograma!U21)</f>
        <v>26149.00263360218</v>
      </c>
      <c r="S8" s="41">
        <f>(Flujograma!V21)</f>
        <v>26092.272593990296</v>
      </c>
      <c r="T8" s="41">
        <f>(Flujograma!W21)</f>
        <v>26035.665629718591</v>
      </c>
      <c r="U8" s="41">
        <f>(Flujograma!X21)</f>
        <v>25979.181473776152</v>
      </c>
      <c r="V8" s="41">
        <f>(Flujograma!Y21)</f>
        <v>25922.819859731346</v>
      </c>
      <c r="W8" s="41">
        <f>(Flujograma!Z21)</f>
        <v>25866.580521730571</v>
      </c>
      <c r="X8" s="41">
        <f>(Flujograma!AA21)</f>
        <v>25810.463194496988</v>
      </c>
      <c r="Y8" s="41">
        <f>(Flujograma!AB21)</f>
        <v>25754.467613329274</v>
      </c>
      <c r="Z8" s="41">
        <f>(Flujograma!AC21)</f>
        <v>25698.59351410035</v>
      </c>
      <c r="AA8" s="41">
        <f>(Flujograma!AD21)</f>
        <v>25642.840633256204</v>
      </c>
      <c r="AB8" s="41">
        <f>(Flujograma!AE21)</f>
        <v>25587.208707814563</v>
      </c>
      <c r="AC8" s="41">
        <f>(Flujograma!AF21)</f>
        <v>25531.697475363708</v>
      </c>
      <c r="AD8" s="41">
        <f>(Flujograma!AG21)</f>
        <v>25476.306674061223</v>
      </c>
      <c r="AE8" s="41">
        <f>(Flujograma!AH21)</f>
        <v>25421.03604263275</v>
      </c>
      <c r="AF8" s="41">
        <f>(Flujograma!AI21)</f>
        <v>25365.885320370773</v>
      </c>
      <c r="AG8" s="41">
        <f>(Flujograma!AJ21)</f>
        <v>25310.854247133357</v>
      </c>
      <c r="AH8" s="41">
        <f>(Flujograma!AK21)</f>
        <v>25255.942563342964</v>
      </c>
      <c r="AI8" s="41">
        <f>(Flujograma!AL21)</f>
        <v>25201.150009985206</v>
      </c>
      <c r="AJ8" s="41">
        <f>(Flujograma!AM21)</f>
        <v>25146.476328607612</v>
      </c>
      <c r="AK8" s="41">
        <f>(Flujograma!AN21)</f>
        <v>25091.921261318425</v>
      </c>
      <c r="AL8" s="41">
        <f>(Flujograma!AO21)</f>
        <v>25037.484550785397</v>
      </c>
      <c r="AM8" s="41">
        <f>(Flujograma!AP21)</f>
        <v>24983.165940234543</v>
      </c>
      <c r="AN8" s="41">
        <f>(Flujograma!AQ21)</f>
        <v>24928.965173448945</v>
      </c>
      <c r="AO8" s="41">
        <f>(Flujograma!AR21)</f>
        <v>24874.881994767566</v>
      </c>
      <c r="AP8" s="41">
        <f>(Flujograma!AS21)</f>
        <v>24820.916149083998</v>
      </c>
      <c r="AQ8" s="41">
        <f>(Flujograma!AT21)</f>
        <v>24767.067381845307</v>
      </c>
      <c r="AR8" s="41">
        <f>(Flujograma!AU21)</f>
        <v>24713.335439050792</v>
      </c>
      <c r="AS8" s="41">
        <f>(Flujograma!AV21)</f>
        <v>24659.720067250819</v>
      </c>
      <c r="AT8" s="41">
        <f>(Flujograma!AW21)</f>
        <v>24606.221013545597</v>
      </c>
      <c r="AU8" s="41">
        <f>(Flujograma!AX21)</f>
        <v>24552.838025584006</v>
      </c>
      <c r="AV8" s="41">
        <f>(Flujograma!AY21)</f>
        <v>24499.570851562399</v>
      </c>
      <c r="AW8" s="41">
        <f>(Flujograma!AZ21)</f>
        <v>24446.419240223418</v>
      </c>
      <c r="AX8" s="41">
        <f>(Flujograma!BA21)</f>
        <v>24393.382940854797</v>
      </c>
      <c r="AY8" s="41">
        <f>(Flujograma!BB21)</f>
        <v>24340.461703288198</v>
      </c>
      <c r="AZ8" s="41">
        <f>(Flujograma!BC21)</f>
        <v>24287.655277898015</v>
      </c>
      <c r="BA8" s="41">
        <f>(Flujograma!BD21)</f>
        <v>24234.963415600199</v>
      </c>
      <c r="BB8" s="41">
        <f>(Flujograma!BE21)</f>
        <v>24182.385867851102</v>
      </c>
      <c r="BC8" s="41">
        <f>(Flujograma!BF21)</f>
        <v>24129.922386646271</v>
      </c>
      <c r="BD8" s="41">
        <f>(Flujograma!BG21)</f>
        <v>24077.572724519312</v>
      </c>
      <c r="BE8" s="41">
        <f>(Flujograma!BH21)</f>
        <v>24025.33663454069</v>
      </c>
      <c r="BF8" s="41">
        <f>(Flujograma!BI21)</f>
        <v>23973.213870316606</v>
      </c>
      <c r="BG8" s="41">
        <f>(Flujograma!BJ21)</f>
        <v>23921.204185987786</v>
      </c>
      <c r="BH8" s="41">
        <f>(Flujograma!BK21)</f>
        <v>23869.30733622835</v>
      </c>
      <c r="BI8" s="41">
        <f>(Flujograma!BL21)</f>
        <v>23817.52307624467</v>
      </c>
      <c r="BJ8" s="41">
        <f>(Flujograma!BM21)</f>
        <v>23765.851161774175</v>
      </c>
      <c r="BK8" s="41">
        <f>(Flujograma!BN21)</f>
        <v>23714.291349084226</v>
      </c>
      <c r="BL8" s="41">
        <f>(Flujograma!BO21)</f>
        <v>23662.843394970954</v>
      </c>
    </row>
    <row r="9" spans="1:65" ht="15">
      <c r="A9" s="3" t="s">
        <v>53</v>
      </c>
      <c r="B9" s="12">
        <f>(B8*$B$12)</f>
        <v>8122092.4978413563</v>
      </c>
      <c r="C9" s="12">
        <f t="shared" ref="C9:BL9" si="2">(C8*$B$12)</f>
        <v>8104471.6869985815</v>
      </c>
      <c r="D9" s="12">
        <f t="shared" si="2"/>
        <v>8086889.1043556025</v>
      </c>
      <c r="E9" s="12">
        <f t="shared" si="2"/>
        <v>8069344.6669766614</v>
      </c>
      <c r="F9" s="12">
        <f t="shared" si="2"/>
        <v>8051838.2921059318</v>
      </c>
      <c r="G9" s="12">
        <f t="shared" si="2"/>
        <v>8034369.8971671248</v>
      </c>
      <c r="H9" s="12">
        <f t="shared" si="2"/>
        <v>8016939.3997631036</v>
      </c>
      <c r="I9" s="12">
        <f t="shared" si="2"/>
        <v>7999546.7176754819</v>
      </c>
      <c r="J9" s="12">
        <f t="shared" si="2"/>
        <v>7982191.7688642554</v>
      </c>
      <c r="K9" s="12">
        <f t="shared" si="2"/>
        <v>7964874.4714673962</v>
      </c>
      <c r="L9" s="12">
        <f t="shared" si="2"/>
        <v>7947594.7438004846</v>
      </c>
      <c r="M9" s="12">
        <f t="shared" si="2"/>
        <v>7930352.5043563079</v>
      </c>
      <c r="N9" s="12">
        <f t="shared" si="2"/>
        <v>7913147.671804484</v>
      </c>
      <c r="O9" s="12">
        <f t="shared" si="2"/>
        <v>7895980.164991078</v>
      </c>
      <c r="P9" s="12">
        <f t="shared" si="2"/>
        <v>7878849.902938216</v>
      </c>
      <c r="Q9" s="12">
        <f t="shared" si="2"/>
        <v>7861756.8048437051</v>
      </c>
      <c r="R9" s="12">
        <f t="shared" si="2"/>
        <v>7844700.7900806544</v>
      </c>
      <c r="S9" s="12">
        <f t="shared" si="2"/>
        <v>7827681.7781970883</v>
      </c>
      <c r="T9" s="12">
        <f t="shared" si="2"/>
        <v>7810699.6889155777</v>
      </c>
      <c r="U9" s="12">
        <f t="shared" si="2"/>
        <v>7793754.4421328455</v>
      </c>
      <c r="V9" s="12">
        <f t="shared" si="2"/>
        <v>7776845.9579194039</v>
      </c>
      <c r="W9" s="12">
        <f t="shared" si="2"/>
        <v>7759974.1565191718</v>
      </c>
      <c r="X9" s="12">
        <f t="shared" si="2"/>
        <v>7743138.9583490966</v>
      </c>
      <c r="Y9" s="12">
        <f t="shared" si="2"/>
        <v>7726340.2839987818</v>
      </c>
      <c r="Z9" s="12">
        <f t="shared" si="2"/>
        <v>7709578.0542301051</v>
      </c>
      <c r="AA9" s="12">
        <f t="shared" si="2"/>
        <v>7692852.1899768617</v>
      </c>
      <c r="AB9" s="12">
        <f t="shared" si="2"/>
        <v>7676162.6123443693</v>
      </c>
      <c r="AC9" s="12">
        <f t="shared" si="2"/>
        <v>7659509.2426091125</v>
      </c>
      <c r="AD9" s="12">
        <f t="shared" si="2"/>
        <v>7642892.0022183666</v>
      </c>
      <c r="AE9" s="12">
        <f t="shared" si="2"/>
        <v>7626310.8127898248</v>
      </c>
      <c r="AF9" s="12">
        <f t="shared" si="2"/>
        <v>7609765.5961112315</v>
      </c>
      <c r="AG9" s="12">
        <f t="shared" si="2"/>
        <v>7593256.2741400069</v>
      </c>
      <c r="AH9" s="12">
        <f t="shared" si="2"/>
        <v>7576782.7690028893</v>
      </c>
      <c r="AI9" s="12">
        <f t="shared" si="2"/>
        <v>7560345.0029955618</v>
      </c>
      <c r="AJ9" s="12">
        <f t="shared" si="2"/>
        <v>7543942.8985822834</v>
      </c>
      <c r="AK9" s="12">
        <f t="shared" si="2"/>
        <v>7527576.3783955276</v>
      </c>
      <c r="AL9" s="12">
        <f t="shared" si="2"/>
        <v>7511245.3652356192</v>
      </c>
      <c r="AM9" s="12">
        <f t="shared" si="2"/>
        <v>7494949.7820703629</v>
      </c>
      <c r="AN9" s="12">
        <f t="shared" si="2"/>
        <v>7478689.5520346835</v>
      </c>
      <c r="AO9" s="12">
        <f t="shared" si="2"/>
        <v>7462464.5984302694</v>
      </c>
      <c r="AP9" s="12">
        <f t="shared" si="2"/>
        <v>7446274.844725199</v>
      </c>
      <c r="AQ9" s="12">
        <f t="shared" si="2"/>
        <v>7430120.2145535918</v>
      </c>
      <c r="AR9" s="12">
        <f t="shared" si="2"/>
        <v>7414000.6317152372</v>
      </c>
      <c r="AS9" s="12">
        <f t="shared" si="2"/>
        <v>7397916.0201752456</v>
      </c>
      <c r="AT9" s="12">
        <f t="shared" si="2"/>
        <v>7381866.3040636787</v>
      </c>
      <c r="AU9" s="12">
        <f t="shared" si="2"/>
        <v>7365851.407675202</v>
      </c>
      <c r="AV9" s="12">
        <f t="shared" si="2"/>
        <v>7349871.2554687196</v>
      </c>
      <c r="AW9" s="12">
        <f t="shared" si="2"/>
        <v>7333925.7720670253</v>
      </c>
      <c r="AX9" s="12">
        <f t="shared" si="2"/>
        <v>7318014.882256439</v>
      </c>
      <c r="AY9" s="12">
        <f t="shared" si="2"/>
        <v>7302138.5109864594</v>
      </c>
      <c r="AZ9" s="12">
        <f t="shared" si="2"/>
        <v>7286296.5833694041</v>
      </c>
      <c r="BA9" s="12">
        <f t="shared" si="2"/>
        <v>7270489.0246800594</v>
      </c>
      <c r="BB9" s="12">
        <f t="shared" si="2"/>
        <v>7254715.760355331</v>
      </c>
      <c r="BC9" s="12">
        <f t="shared" si="2"/>
        <v>7238976.7159938812</v>
      </c>
      <c r="BD9" s="12">
        <f t="shared" si="2"/>
        <v>7223271.8173557939</v>
      </c>
      <c r="BE9" s="12">
        <f t="shared" si="2"/>
        <v>7207600.9903622074</v>
      </c>
      <c r="BF9" s="12">
        <f t="shared" si="2"/>
        <v>7191964.1610949812</v>
      </c>
      <c r="BG9" s="12">
        <f t="shared" si="2"/>
        <v>7176361.2557963356</v>
      </c>
      <c r="BH9" s="12">
        <f t="shared" si="2"/>
        <v>7160792.2008685051</v>
      </c>
      <c r="BI9" s="12">
        <f t="shared" si="2"/>
        <v>7145256.9228734011</v>
      </c>
      <c r="BJ9" s="12">
        <f t="shared" si="2"/>
        <v>7129755.3485322529</v>
      </c>
      <c r="BK9" s="12">
        <f t="shared" si="2"/>
        <v>7114287.4047252676</v>
      </c>
      <c r="BL9" s="12">
        <f t="shared" si="2"/>
        <v>7098853.0184912859</v>
      </c>
    </row>
    <row r="10" spans="1:65" ht="15">
      <c r="A10" s="42" t="s">
        <v>54</v>
      </c>
      <c r="B10" s="14">
        <f>(B6+B9)</f>
        <v>16264499.041477043</v>
      </c>
      <c r="C10" s="14">
        <f t="shared" ref="C10:BL10" si="3">(C6+C9)</f>
        <v>16210429.858069848</v>
      </c>
      <c r="D10" s="14">
        <f t="shared" si="3"/>
        <v>16156562.059032002</v>
      </c>
      <c r="E10" s="14">
        <f t="shared" si="3"/>
        <v>16102894.8310814</v>
      </c>
      <c r="F10" s="14">
        <f t="shared" si="3"/>
        <v>16049427.364385169</v>
      </c>
      <c r="G10" s="14">
        <f t="shared" si="3"/>
        <v>15996158.852544632</v>
      </c>
      <c r="H10" s="14">
        <f t="shared" si="3"/>
        <v>15943088.492580358</v>
      </c>
      <c r="I10" s="14">
        <f t="shared" si="3"/>
        <v>15890215.484917253</v>
      </c>
      <c r="J10" s="14">
        <f t="shared" si="3"/>
        <v>15837539.033369754</v>
      </c>
      <c r="K10" s="14">
        <f t="shared" si="3"/>
        <v>15785058.345127054</v>
      </c>
      <c r="L10" s="14">
        <f t="shared" si="3"/>
        <v>15732772.630738415</v>
      </c>
      <c r="M10" s="14">
        <f t="shared" si="3"/>
        <v>15680681.104098529</v>
      </c>
      <c r="N10" s="14">
        <f t="shared" si="3"/>
        <v>15628782.982432947</v>
      </c>
      <c r="O10" s="14">
        <f t="shared" si="3"/>
        <v>15577077.4862836</v>
      </c>
      <c r="P10" s="14">
        <f t="shared" si="3"/>
        <v>15525563.839494336</v>
      </c>
      <c r="Q10" s="14">
        <f t="shared" si="3"/>
        <v>15474241.269196551</v>
      </c>
      <c r="R10" s="14">
        <f t="shared" si="3"/>
        <v>15423109.005794886</v>
      </c>
      <c r="S10" s="14">
        <f t="shared" si="3"/>
        <v>15372166.282952975</v>
      </c>
      <c r="T10" s="14">
        <f t="shared" si="3"/>
        <v>15321412.337579267</v>
      </c>
      <c r="U10" s="14">
        <f t="shared" si="3"/>
        <v>15270846.409812881</v>
      </c>
      <c r="V10" s="14">
        <f t="shared" si="3"/>
        <v>15220467.743009569</v>
      </c>
      <c r="W10" s="14">
        <f t="shared" si="3"/>
        <v>15170275.583727714</v>
      </c>
      <c r="X10" s="14">
        <f t="shared" si="3"/>
        <v>15120269.181714389</v>
      </c>
      <c r="Y10" s="14">
        <f t="shared" si="3"/>
        <v>15070447.789891481</v>
      </c>
      <c r="Z10" s="14">
        <f t="shared" si="3"/>
        <v>15020810.664341882</v>
      </c>
      <c r="AA10" s="14">
        <f t="shared" si="3"/>
        <v>14971357.064295739</v>
      </c>
      <c r="AB10" s="14">
        <f t="shared" si="3"/>
        <v>14922086.252116751</v>
      </c>
      <c r="AC10" s="14">
        <f t="shared" si="3"/>
        <v>14872997.493288551</v>
      </c>
      <c r="AD10" s="14">
        <f t="shared" si="3"/>
        <v>14824090.056401126</v>
      </c>
      <c r="AE10" s="14">
        <f t="shared" si="3"/>
        <v>14775363.213137316</v>
      </c>
      <c r="AF10" s="14">
        <f t="shared" si="3"/>
        <v>14726816.238259349</v>
      </c>
      <c r="AG10" s="14">
        <f t="shared" si="3"/>
        <v>14678448.409595454</v>
      </c>
      <c r="AH10" s="14">
        <f t="shared" si="3"/>
        <v>14630259.008026535</v>
      </c>
      <c r="AI10" s="14">
        <f t="shared" si="3"/>
        <v>14582247.317472886</v>
      </c>
      <c r="AJ10" s="14">
        <f t="shared" si="3"/>
        <v>14534412.624880984</v>
      </c>
      <c r="AK10" s="14">
        <f t="shared" si="3"/>
        <v>14486754.220210323</v>
      </c>
      <c r="AL10" s="14">
        <f t="shared" si="3"/>
        <v>14439271.396420328</v>
      </c>
      <c r="AM10" s="14">
        <f t="shared" si="3"/>
        <v>14391963.449457295</v>
      </c>
      <c r="AN10" s="14">
        <f t="shared" si="3"/>
        <v>14344829.678241422</v>
      </c>
      <c r="AO10" s="14">
        <f t="shared" si="3"/>
        <v>14297869.384653879</v>
      </c>
      <c r="AP10" s="14">
        <f t="shared" si="3"/>
        <v>14251081.873523932</v>
      </c>
      <c r="AQ10" s="14">
        <f t="shared" si="3"/>
        <v>14204466.452616137</v>
      </c>
      <c r="AR10" s="14">
        <f t="shared" si="3"/>
        <v>14158022.432617582</v>
      </c>
      <c r="AS10" s="14">
        <f t="shared" si="3"/>
        <v>14111749.127125189</v>
      </c>
      <c r="AT10" s="14">
        <f t="shared" si="3"/>
        <v>14065645.852633057</v>
      </c>
      <c r="AU10" s="14">
        <f t="shared" si="3"/>
        <v>14019711.928519893</v>
      </c>
      <c r="AV10" s="14">
        <f t="shared" si="3"/>
        <v>13973946.677036464</v>
      </c>
      <c r="AW10" s="14">
        <f t="shared" si="3"/>
        <v>13928349.423293136</v>
      </c>
      <c r="AX10" s="14">
        <f t="shared" si="3"/>
        <v>13882919.495247424</v>
      </c>
      <c r="AY10" s="14">
        <f t="shared" si="3"/>
        <v>13837656.223691657</v>
      </c>
      <c r="AZ10" s="14">
        <f t="shared" si="3"/>
        <v>15883707.102908013</v>
      </c>
      <c r="BA10" s="14">
        <f t="shared" si="3"/>
        <v>13747626.987319399</v>
      </c>
      <c r="BB10" s="14">
        <f t="shared" si="3"/>
        <v>13702859.698151004</v>
      </c>
      <c r="BC10" s="14">
        <f t="shared" si="3"/>
        <v>13658256.416744366</v>
      </c>
      <c r="BD10" s="14">
        <f t="shared" si="3"/>
        <v>13613816.487882191</v>
      </c>
      <c r="BE10" s="14">
        <f t="shared" si="3"/>
        <v>13569539.259108905</v>
      </c>
      <c r="BF10" s="14">
        <f t="shared" si="3"/>
        <v>13525424.08071867</v>
      </c>
      <c r="BG10" s="14">
        <f t="shared" si="3"/>
        <v>13481470.305743452</v>
      </c>
      <c r="BH10" s="14">
        <f t="shared" si="3"/>
        <v>13437677.289941132</v>
      </c>
      <c r="BI10" s="14">
        <f t="shared" si="3"/>
        <v>13394044.39178367</v>
      </c>
      <c r="BJ10" s="14">
        <f t="shared" si="3"/>
        <v>13350570.972445326</v>
      </c>
      <c r="BK10" s="14">
        <f t="shared" si="3"/>
        <v>13307256.395790935</v>
      </c>
      <c r="BL10" s="14">
        <f t="shared" si="3"/>
        <v>13264100.028364219</v>
      </c>
    </row>
    <row r="11" spans="1:65" ht="15">
      <c r="A11" s="3" t="s">
        <v>55</v>
      </c>
      <c r="B11" s="4"/>
      <c r="C11" s="4"/>
      <c r="D11" s="4"/>
      <c r="E11" s="9">
        <f>(SUM(B10:E10))</f>
        <v>64734385.78966029</v>
      </c>
      <c r="F11" s="4"/>
      <c r="G11" s="4"/>
      <c r="H11" s="4"/>
      <c r="I11" s="9">
        <f>(SUM(F10:I10))</f>
        <v>63878890.194427416</v>
      </c>
      <c r="J11" s="9"/>
      <c r="K11" s="9"/>
      <c r="L11" s="9"/>
      <c r="M11" s="9">
        <f>(SUM(J10:M10))</f>
        <v>63036051.113333747</v>
      </c>
      <c r="N11" s="9"/>
      <c r="O11" s="9"/>
      <c r="P11" s="9"/>
      <c r="Q11" s="9">
        <f>(SUM(N10:Q10))</f>
        <v>62205665.577407435</v>
      </c>
      <c r="R11" s="9"/>
      <c r="S11" s="9"/>
      <c r="T11" s="9"/>
      <c r="U11" s="9">
        <f>(SUM(R10:U10))</f>
        <v>61387534.03614001</v>
      </c>
      <c r="V11" s="9"/>
      <c r="W11" s="9"/>
      <c r="X11" s="9"/>
      <c r="Y11" s="9">
        <f>(SUM(V10:Y10))</f>
        <v>60581460.298343152</v>
      </c>
      <c r="Z11" s="9"/>
      <c r="AA11" s="9"/>
      <c r="AB11" s="9"/>
      <c r="AC11" s="9">
        <f>(SUM(Z10:AC10))</f>
        <v>59787251.474042922</v>
      </c>
      <c r="AD11" s="9"/>
      <c r="AE11" s="9"/>
      <c r="AF11" s="9"/>
      <c r="AG11" s="9">
        <f>(SUM(AD10:AG10))</f>
        <v>59004717.917393245</v>
      </c>
      <c r="AH11" s="9"/>
      <c r="AI11" s="9"/>
      <c r="AJ11" s="9"/>
      <c r="AK11" s="9">
        <f>(SUM(AH10:AK10))</f>
        <v>58233673.170590729</v>
      </c>
      <c r="AL11" s="9"/>
      <c r="AM11" s="9"/>
      <c r="AN11" s="9"/>
      <c r="AO11" s="9">
        <f>(SUM(AL10:AO10))</f>
        <v>57473933.908772931</v>
      </c>
      <c r="AP11" s="9"/>
      <c r="AQ11" s="9"/>
      <c r="AR11" s="9"/>
      <c r="AS11" s="9">
        <f>(SUM(AP10:AS10))</f>
        <v>56725319.88588284</v>
      </c>
      <c r="AT11" s="9"/>
      <c r="AU11" s="9"/>
      <c r="AV11" s="9"/>
      <c r="AW11" s="9">
        <f>(SUM(AT10:AW10))</f>
        <v>55987653.881482549</v>
      </c>
      <c r="AX11" s="9"/>
      <c r="AY11" s="9"/>
      <c r="AZ11" s="9"/>
      <c r="BA11" s="9">
        <f>(SUM(AX10:BA10))</f>
        <v>57351909.809166491</v>
      </c>
      <c r="BB11" s="9"/>
      <c r="BC11" s="9"/>
      <c r="BD11" s="9"/>
      <c r="BE11" s="9">
        <f>(SUM(BB10:BE10))</f>
        <v>54544471.861886472</v>
      </c>
      <c r="BF11" s="9"/>
      <c r="BG11" s="9"/>
      <c r="BH11" s="9"/>
      <c r="BI11" s="9">
        <f>(SUM(BF10:BI10))</f>
        <v>53838616.068186924</v>
      </c>
      <c r="BJ11" s="9"/>
      <c r="BK11" s="9"/>
      <c r="BL11" s="9">
        <f>(SUM(BJ10:BL10))</f>
        <v>39921927.396600477</v>
      </c>
    </row>
    <row r="12" spans="1:65" ht="15">
      <c r="A12" s="3" t="s">
        <v>56</v>
      </c>
      <c r="B12" s="9">
        <v>300</v>
      </c>
      <c r="C12" s="9">
        <v>300</v>
      </c>
      <c r="D12" s="9">
        <v>300</v>
      </c>
      <c r="E12" s="9">
        <v>300</v>
      </c>
      <c r="F12" s="9">
        <v>300</v>
      </c>
      <c r="G12" s="9">
        <v>300</v>
      </c>
      <c r="H12" s="9">
        <v>300</v>
      </c>
      <c r="I12" s="9">
        <v>300</v>
      </c>
      <c r="J12" s="9">
        <v>300</v>
      </c>
      <c r="K12" s="9">
        <v>300</v>
      </c>
      <c r="L12" s="9">
        <v>300</v>
      </c>
      <c r="M12" s="9">
        <v>300</v>
      </c>
      <c r="N12" s="9">
        <v>300</v>
      </c>
      <c r="O12" s="9">
        <v>300</v>
      </c>
      <c r="P12" s="9">
        <v>300</v>
      </c>
      <c r="Q12" s="9">
        <v>300</v>
      </c>
      <c r="R12" s="9">
        <v>300</v>
      </c>
      <c r="S12" s="9">
        <v>300</v>
      </c>
      <c r="T12" s="9">
        <v>300</v>
      </c>
      <c r="U12" s="9">
        <v>300</v>
      </c>
      <c r="V12" s="9">
        <v>300</v>
      </c>
      <c r="W12" s="9">
        <v>300</v>
      </c>
      <c r="X12" s="9">
        <v>300</v>
      </c>
      <c r="Y12" s="9">
        <v>300</v>
      </c>
      <c r="Z12" s="9">
        <v>300</v>
      </c>
      <c r="AA12" s="9">
        <v>300</v>
      </c>
      <c r="AB12" s="9">
        <v>300</v>
      </c>
      <c r="AC12" s="9">
        <v>300</v>
      </c>
      <c r="AD12" s="9">
        <v>300</v>
      </c>
      <c r="AE12" s="9">
        <v>300</v>
      </c>
      <c r="AF12" s="9">
        <v>300</v>
      </c>
      <c r="AG12" s="9">
        <v>300</v>
      </c>
      <c r="AH12" s="9">
        <v>300</v>
      </c>
      <c r="AI12" s="9">
        <v>300</v>
      </c>
      <c r="AJ12" s="9">
        <v>300</v>
      </c>
      <c r="AK12" s="9">
        <v>300</v>
      </c>
      <c r="AL12" s="9">
        <v>300</v>
      </c>
      <c r="AM12" s="9">
        <v>300</v>
      </c>
      <c r="AN12" s="9">
        <v>300</v>
      </c>
      <c r="AO12" s="9">
        <v>300</v>
      </c>
      <c r="AP12" s="9">
        <v>300</v>
      </c>
      <c r="AQ12" s="9">
        <v>300</v>
      </c>
      <c r="AR12" s="9">
        <v>300</v>
      </c>
      <c r="AS12" s="9">
        <v>300</v>
      </c>
      <c r="AT12" s="9">
        <v>300</v>
      </c>
      <c r="AU12" s="9">
        <v>300</v>
      </c>
      <c r="AV12" s="9">
        <v>300</v>
      </c>
      <c r="AW12" s="9">
        <v>300</v>
      </c>
      <c r="AX12" s="9">
        <v>300</v>
      </c>
      <c r="AY12" s="9">
        <v>300</v>
      </c>
      <c r="AZ12" s="9">
        <v>300</v>
      </c>
      <c r="BA12" s="9">
        <v>300</v>
      </c>
      <c r="BB12" s="9">
        <v>300</v>
      </c>
      <c r="BC12" s="9">
        <v>300</v>
      </c>
      <c r="BD12" s="9">
        <v>300</v>
      </c>
      <c r="BE12" s="9">
        <v>300</v>
      </c>
      <c r="BF12" s="9">
        <v>300</v>
      </c>
      <c r="BG12" s="9">
        <v>300</v>
      </c>
      <c r="BH12" s="9">
        <v>300</v>
      </c>
      <c r="BI12" s="9">
        <v>300</v>
      </c>
      <c r="BJ12" s="9">
        <v>300</v>
      </c>
      <c r="BK12" s="9">
        <v>300</v>
      </c>
      <c r="BL12" s="9">
        <v>300</v>
      </c>
    </row>
    <row r="13" spans="1:65" ht="1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6" spans="1:65" ht="15">
      <c r="A16" s="98" t="s">
        <v>57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64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64" ht="15">
      <c r="A18" s="18" t="s">
        <v>48</v>
      </c>
      <c r="B18" s="18">
        <v>18</v>
      </c>
      <c r="C18" s="18">
        <v>19</v>
      </c>
      <c r="D18" s="18">
        <v>20</v>
      </c>
      <c r="E18" s="18">
        <v>21</v>
      </c>
      <c r="F18" s="18">
        <v>22</v>
      </c>
      <c r="G18" s="18">
        <v>23</v>
      </c>
      <c r="H18" s="18">
        <v>24</v>
      </c>
      <c r="I18" s="18">
        <v>25</v>
      </c>
      <c r="J18" s="18">
        <v>26</v>
      </c>
      <c r="K18" s="18">
        <v>27</v>
      </c>
      <c r="L18" s="18">
        <v>28</v>
      </c>
      <c r="M18" s="18">
        <v>29</v>
      </c>
      <c r="N18" s="18">
        <v>30</v>
      </c>
      <c r="O18" s="18">
        <v>31</v>
      </c>
      <c r="P18" s="18">
        <v>32</v>
      </c>
      <c r="Q18" s="18">
        <v>33</v>
      </c>
      <c r="R18" s="18">
        <v>34</v>
      </c>
      <c r="S18" s="18">
        <v>35</v>
      </c>
      <c r="T18" s="18">
        <v>36</v>
      </c>
      <c r="U18" s="18">
        <v>37</v>
      </c>
      <c r="V18" s="18">
        <v>38</v>
      </c>
      <c r="W18" s="18">
        <v>39</v>
      </c>
      <c r="X18" s="18">
        <v>40</v>
      </c>
      <c r="Y18" s="18">
        <v>41</v>
      </c>
      <c r="Z18" s="18">
        <v>42</v>
      </c>
      <c r="AA18" s="18">
        <v>43</v>
      </c>
      <c r="AB18" s="18">
        <v>44</v>
      </c>
      <c r="AC18" s="18">
        <v>45</v>
      </c>
      <c r="AD18" s="18">
        <v>46</v>
      </c>
      <c r="AE18" s="18">
        <v>47</v>
      </c>
      <c r="AF18" s="18">
        <v>48</v>
      </c>
      <c r="AG18" s="18">
        <v>49</v>
      </c>
      <c r="AH18" s="18">
        <v>50</v>
      </c>
      <c r="AI18" s="18">
        <v>51</v>
      </c>
      <c r="AJ18" s="18">
        <v>52</v>
      </c>
      <c r="AK18" s="18">
        <v>53</v>
      </c>
      <c r="AL18" s="18">
        <v>54</v>
      </c>
      <c r="AM18" s="18">
        <v>55</v>
      </c>
      <c r="AN18" s="18">
        <v>56</v>
      </c>
      <c r="AO18" s="18">
        <v>57</v>
      </c>
      <c r="AP18" s="18">
        <v>58</v>
      </c>
      <c r="AQ18" s="18">
        <v>59</v>
      </c>
      <c r="AR18" s="18">
        <v>60</v>
      </c>
      <c r="AS18" s="18">
        <v>61</v>
      </c>
      <c r="AT18" s="18">
        <v>62</v>
      </c>
      <c r="AU18" s="18">
        <v>63</v>
      </c>
      <c r="AV18" s="18">
        <v>64</v>
      </c>
      <c r="AW18" s="18">
        <v>65</v>
      </c>
      <c r="AX18" s="18">
        <v>66</v>
      </c>
      <c r="AY18" s="18">
        <v>67</v>
      </c>
      <c r="AZ18" s="18">
        <v>68</v>
      </c>
      <c r="BA18" s="18">
        <v>69</v>
      </c>
      <c r="BB18" s="18">
        <v>70</v>
      </c>
      <c r="BC18" s="18">
        <v>71</v>
      </c>
      <c r="BD18" s="18">
        <v>72</v>
      </c>
      <c r="BE18" s="18">
        <v>73</v>
      </c>
      <c r="BF18" s="18">
        <v>74</v>
      </c>
      <c r="BG18" s="18">
        <v>75</v>
      </c>
      <c r="BH18" s="18">
        <v>76</v>
      </c>
      <c r="BI18" s="18">
        <v>77</v>
      </c>
      <c r="BJ18" s="18">
        <v>78</v>
      </c>
      <c r="BK18" s="18">
        <v>79</v>
      </c>
      <c r="BL18" s="18">
        <v>80</v>
      </c>
    </row>
    <row r="19" spans="1:64" ht="15">
      <c r="A19" s="15" t="s">
        <v>49</v>
      </c>
      <c r="B19" s="35">
        <f>Flujograma!E35</f>
        <v>35996.946774193551</v>
      </c>
      <c r="C19" s="35">
        <f>Flujograma!F35</f>
        <v>35967.916978407913</v>
      </c>
      <c r="D19" s="35">
        <f>Flujograma!G35</f>
        <v>35938.910593747903</v>
      </c>
      <c r="E19" s="35">
        <f>Flujograma!H35</f>
        <v>35909.927601333591</v>
      </c>
      <c r="F19" s="35">
        <f>Flujograma!I35</f>
        <v>35880.967982300259</v>
      </c>
      <c r="G19" s="35">
        <f>Flujograma!J35</f>
        <v>35852.031717798403</v>
      </c>
      <c r="H19" s="35">
        <f>Flujograma!K35</f>
        <v>35823.118788993728</v>
      </c>
      <c r="I19" s="35">
        <f>Flujograma!L35</f>
        <v>35794.229177067122</v>
      </c>
      <c r="J19" s="35">
        <f>Flujograma!M35</f>
        <v>35765.36286321465</v>
      </c>
      <c r="K19" s="35">
        <f>Flujograma!N35</f>
        <v>35736.519828647542</v>
      </c>
      <c r="L19" s="35">
        <f>Flujograma!O35</f>
        <v>35707.700054592184</v>
      </c>
      <c r="M19" s="35">
        <f>Flujograma!P35</f>
        <v>35678.903522290093</v>
      </c>
      <c r="N19" s="35">
        <f>Flujograma!Q35</f>
        <v>35650.130212997923</v>
      </c>
      <c r="O19" s="35">
        <f>Flujograma!R35</f>
        <v>35621.380107987439</v>
      </c>
      <c r="P19" s="35">
        <f>Flujograma!S35</f>
        <v>35592.653188545512</v>
      </c>
      <c r="Q19" s="35">
        <f>Flujograma!T35</f>
        <v>35563.949435974107</v>
      </c>
      <c r="R19" s="35">
        <f>Flujograma!U35</f>
        <v>35535.268831590256</v>
      </c>
      <c r="S19" s="35">
        <f>Flujograma!V35</f>
        <v>35506.611356726069</v>
      </c>
      <c r="T19" s="35">
        <f>Flujograma!W35</f>
        <v>35477.976992728713</v>
      </c>
      <c r="U19" s="35">
        <f>Flujograma!X35</f>
        <v>35449.365720960384</v>
      </c>
      <c r="V19" s="35">
        <f>Flujograma!Y35</f>
        <v>35420.777522798322</v>
      </c>
      <c r="W19" s="35">
        <f>Flujograma!Z35</f>
        <v>35392.212379634773</v>
      </c>
      <c r="X19" s="35">
        <f>Flujograma!AA35</f>
        <v>35363.670272877003</v>
      </c>
      <c r="Y19" s="35">
        <f>Flujograma!AB35</f>
        <v>35335.151183947266</v>
      </c>
      <c r="Z19" s="35">
        <f>Flujograma!AC35</f>
        <v>35306.655094282789</v>
      </c>
      <c r="AA19" s="35">
        <f>Flujograma!AD35</f>
        <v>35278.181985335788</v>
      </c>
      <c r="AB19" s="35">
        <f>Flujograma!AE35</f>
        <v>35249.731838573418</v>
      </c>
      <c r="AC19" s="35">
        <f>Flujograma!AF35</f>
        <v>35221.304635477791</v>
      </c>
      <c r="AD19" s="35">
        <f>Flujograma!AG35</f>
        <v>35192.900357545957</v>
      </c>
      <c r="AE19" s="35">
        <f>Flujograma!AH35</f>
        <v>35164.51898628987</v>
      </c>
      <c r="AF19" s="35">
        <f>Flujograma!AI35</f>
        <v>35136.16050323641</v>
      </c>
      <c r="AG19" s="35">
        <f>Flujograma!AJ35</f>
        <v>35107.824889927346</v>
      </c>
      <c r="AH19" s="35">
        <f>Flujograma!AK35</f>
        <v>35079.512127919341</v>
      </c>
      <c r="AI19" s="35">
        <f>Flujograma!AL35</f>
        <v>35051.222198783922</v>
      </c>
      <c r="AJ19" s="35">
        <f>Flujograma!AM35</f>
        <v>35022.955084107482</v>
      </c>
      <c r="AK19" s="35">
        <f>Flujograma!AN35</f>
        <v>34994.710765491269</v>
      </c>
      <c r="AL19" s="35">
        <f>Flujograma!AO35</f>
        <v>34966.489224551355</v>
      </c>
      <c r="AM19" s="35">
        <f>Flujograma!AP35</f>
        <v>34938.290442918653</v>
      </c>
      <c r="AN19" s="35">
        <f>Flujograma!AQ35</f>
        <v>34910.114402238876</v>
      </c>
      <c r="AO19" s="35">
        <f>Flujograma!AR35</f>
        <v>34881.961084172552</v>
      </c>
      <c r="AP19" s="35">
        <f>Flujograma!AS35</f>
        <v>34853.830470394991</v>
      </c>
      <c r="AQ19" s="35">
        <f>Flujograma!AT35</f>
        <v>34825.722542596282</v>
      </c>
      <c r="AR19" s="35">
        <f>Flujograma!AU35</f>
        <v>34797.637282481286</v>
      </c>
      <c r="AS19" s="35">
        <f>Flujograma!AV35</f>
        <v>34769.574671769609</v>
      </c>
      <c r="AT19" s="35">
        <f>Flujograma!AW35</f>
        <v>34741.534692195601</v>
      </c>
      <c r="AU19" s="35">
        <f>Flujograma!AX35</f>
        <v>34713.517325508343</v>
      </c>
      <c r="AV19" s="35">
        <f>Flujograma!AY35</f>
        <v>34685.522553471645</v>
      </c>
      <c r="AW19" s="35">
        <f>Flujograma!AZ35</f>
        <v>34657.550357864005</v>
      </c>
      <c r="AX19" s="35">
        <f>Flujograma!BA35</f>
        <v>34629.600720478629</v>
      </c>
      <c r="AY19" s="35">
        <f>Flujograma!BB35</f>
        <v>34601.673623123403</v>
      </c>
      <c r="AZ19" s="35">
        <f>Flujograma!BC35</f>
        <v>34573.769047620881</v>
      </c>
      <c r="BA19" s="35">
        <f>Flujograma!BD35</f>
        <v>34545.88697580828</v>
      </c>
      <c r="BB19" s="35">
        <f>Flujograma!BE35</f>
        <v>34518.02738953747</v>
      </c>
      <c r="BC19" s="35">
        <f>Flujograma!BF35</f>
        <v>34490.190270674939</v>
      </c>
      <c r="BD19" s="35">
        <f>Flujograma!BG35</f>
        <v>34462.375601101812</v>
      </c>
      <c r="BE19" s="35">
        <f>Flujograma!BH35</f>
        <v>34434.583362713827</v>
      </c>
      <c r="BF19" s="35">
        <f>Flujograma!BI35</f>
        <v>34406.813537421316</v>
      </c>
      <c r="BG19" s="35">
        <f>Flujograma!BJ35</f>
        <v>34379.0661071492</v>
      </c>
      <c r="BH19" s="35">
        <f>Flujograma!BK35</f>
        <v>34351.341053836979</v>
      </c>
      <c r="BI19" s="35">
        <f>Flujograma!BL35</f>
        <v>34323.638359438723</v>
      </c>
      <c r="BJ19" s="35">
        <f>Flujograma!BM35</f>
        <v>34295.958005923043</v>
      </c>
      <c r="BK19" s="35">
        <f>Flujograma!BN35</f>
        <v>34268.299975273105</v>
      </c>
      <c r="BL19" s="35">
        <f>Flujograma!BO35</f>
        <v>34240.664249486596</v>
      </c>
    </row>
    <row r="20" spans="1:64" ht="15">
      <c r="A20" s="5" t="s">
        <v>52</v>
      </c>
      <c r="B20" s="35">
        <f>Flujograma!E36</f>
        <v>27213.691761290327</v>
      </c>
      <c r="C20" s="35">
        <f>Flujograma!F36</f>
        <v>27191.745235676382</v>
      </c>
      <c r="D20" s="35">
        <f>Flujograma!G36</f>
        <v>27169.816408873416</v>
      </c>
      <c r="E20" s="35">
        <f>Flujograma!H36</f>
        <v>27147.905266608195</v>
      </c>
      <c r="F20" s="35">
        <f>Flujograma!I36</f>
        <v>27126.011794618997</v>
      </c>
      <c r="G20" s="35">
        <f>Flujograma!J36</f>
        <v>27104.135978655595</v>
      </c>
      <c r="H20" s="35">
        <f>Flujograma!K36</f>
        <v>27082.277804479258</v>
      </c>
      <c r="I20" s="35">
        <f>Flujograma!L36</f>
        <v>27060.437257862744</v>
      </c>
      <c r="J20" s="35">
        <f>Flujograma!M36</f>
        <v>27038.614324590279</v>
      </c>
      <c r="K20" s="35">
        <f>Flujograma!N36</f>
        <v>27016.808990457543</v>
      </c>
      <c r="L20" s="35">
        <f>Flujograma!O36</f>
        <v>26995.021241271694</v>
      </c>
      <c r="M20" s="35">
        <f>Flujograma!P36</f>
        <v>26973.251062851308</v>
      </c>
      <c r="N20" s="35">
        <f>Flujograma!Q36</f>
        <v>26951.49844102643</v>
      </c>
      <c r="O20" s="35">
        <f>Flujograma!R36</f>
        <v>26929.763361638506</v>
      </c>
      <c r="P20" s="35">
        <f>Flujograma!S36</f>
        <v>26908.045810540407</v>
      </c>
      <c r="Q20" s="35">
        <f>Flujograma!T36</f>
        <v>26886.345773596429</v>
      </c>
      <c r="R20" s="35">
        <f>Flujograma!U36</f>
        <v>26864.663236682234</v>
      </c>
      <c r="S20" s="35">
        <f>Flujograma!V36</f>
        <v>26842.998185684908</v>
      </c>
      <c r="T20" s="35">
        <f>Flujograma!W36</f>
        <v>26821.350606502911</v>
      </c>
      <c r="U20" s="35">
        <f>Flujograma!X36</f>
        <v>26799.720485046051</v>
      </c>
      <c r="V20" s="35">
        <f>Flujograma!Y36</f>
        <v>26778.10780723553</v>
      </c>
      <c r="W20" s="35">
        <f>Flujograma!Z36</f>
        <v>26756.512559003888</v>
      </c>
      <c r="X20" s="35">
        <f>Flujograma!AA36</f>
        <v>26734.934726295018</v>
      </c>
      <c r="Y20" s="35">
        <f>Flujograma!AB36</f>
        <v>26713.374295064132</v>
      </c>
      <c r="Z20" s="35">
        <f>Flujograma!AC36</f>
        <v>26691.831251277788</v>
      </c>
      <c r="AA20" s="35">
        <f>Flujograma!AD36</f>
        <v>26670.305580913857</v>
      </c>
      <c r="AB20" s="35">
        <f>Flujograma!AE36</f>
        <v>26648.797269961502</v>
      </c>
      <c r="AC20" s="35">
        <f>Flujograma!AF36</f>
        <v>26627.30630442121</v>
      </c>
      <c r="AD20" s="35">
        <f>Flujograma!AG36</f>
        <v>26605.832670304746</v>
      </c>
      <c r="AE20" s="35">
        <f>Flujograma!AH36</f>
        <v>26584.37635363514</v>
      </c>
      <c r="AF20" s="35">
        <f>Flujograma!AI36</f>
        <v>26562.937340446726</v>
      </c>
      <c r="AG20" s="35">
        <f>Flujograma!AJ36</f>
        <v>26541.515616785073</v>
      </c>
      <c r="AH20" s="35">
        <f>Flujograma!AK36</f>
        <v>26520.111168707026</v>
      </c>
      <c r="AI20" s="35">
        <f>Flujograma!AL36</f>
        <v>26498.72398228064</v>
      </c>
      <c r="AJ20" s="35">
        <f>Flujograma!AM36</f>
        <v>26477.354043585256</v>
      </c>
      <c r="AK20" s="35">
        <f>Flujograma!AN36</f>
        <v>26456.001338711401</v>
      </c>
      <c r="AL20" s="35">
        <f>Flujograma!AO36</f>
        <v>26434.665853760824</v>
      </c>
      <c r="AM20" s="35">
        <f>Flujograma!AP36</f>
        <v>26413.347574846499</v>
      </c>
      <c r="AN20" s="35">
        <f>Flujograma!AQ36</f>
        <v>26392.04648809259</v>
      </c>
      <c r="AO20" s="35">
        <f>Flujograma!AR36</f>
        <v>26370.762579634451</v>
      </c>
      <c r="AP20" s="35">
        <f>Flujograma!AS36</f>
        <v>26349.495835618611</v>
      </c>
      <c r="AQ20" s="35">
        <f>Flujograma!AT36</f>
        <v>26328.246242202789</v>
      </c>
      <c r="AR20" s="35">
        <f>Flujograma!AU36</f>
        <v>26307.013785555853</v>
      </c>
      <c r="AS20" s="35">
        <f>Flujograma!AV36</f>
        <v>26285.798451857823</v>
      </c>
      <c r="AT20" s="35">
        <f>Flujograma!AW36</f>
        <v>26264.600227299878</v>
      </c>
      <c r="AU20" s="35">
        <f>Flujograma!AX36</f>
        <v>26243.419098084309</v>
      </c>
      <c r="AV20" s="35">
        <f>Flujograma!AY36</f>
        <v>26222.255050424566</v>
      </c>
      <c r="AW20" s="35">
        <f>Flujograma!AZ36</f>
        <v>26201.10807054519</v>
      </c>
      <c r="AX20" s="35">
        <f>Flujograma!BA36</f>
        <v>26179.978144681842</v>
      </c>
      <c r="AY20" s="35">
        <f>Flujograma!BB36</f>
        <v>26158.865259081293</v>
      </c>
      <c r="AZ20" s="35">
        <f>Flujograma!BC36</f>
        <v>26137.769400001383</v>
      </c>
      <c r="BA20" s="35">
        <f>Flujograma!BD36</f>
        <v>26116.690553711062</v>
      </c>
      <c r="BB20" s="35">
        <f>Flujograma!BE36</f>
        <v>26095.628706490326</v>
      </c>
      <c r="BC20" s="35">
        <f>Flujograma!BF36</f>
        <v>26074.583844630255</v>
      </c>
      <c r="BD20" s="35">
        <f>Flujograma!BG36</f>
        <v>26053.555954432974</v>
      </c>
      <c r="BE20" s="35">
        <f>Flujograma!BH36</f>
        <v>26032.545022211652</v>
      </c>
      <c r="BF20" s="35">
        <f>Flujograma!BI36</f>
        <v>26011.551034290515</v>
      </c>
      <c r="BG20" s="35">
        <f>Flujograma!BJ36</f>
        <v>25990.573977004795</v>
      </c>
      <c r="BH20" s="35">
        <f>Flujograma!BK36</f>
        <v>25969.613836700755</v>
      </c>
      <c r="BI20" s="35">
        <f>Flujograma!BL36</f>
        <v>25948.670599735673</v>
      </c>
      <c r="BJ20" s="35">
        <f>Flujograma!BM36</f>
        <v>25927.74425247782</v>
      </c>
      <c r="BK20" s="35">
        <f>Flujograma!BN36</f>
        <v>25906.834781306468</v>
      </c>
      <c r="BL20" s="35">
        <f>Flujograma!BO36</f>
        <v>25885.942172611867</v>
      </c>
    </row>
    <row r="21" spans="1:64" ht="15">
      <c r="A21" s="42" t="s">
        <v>50</v>
      </c>
      <c r="B21" s="43">
        <f t="shared" ref="B21:AG21" si="4">(B20*$B$12)</f>
        <v>8164107.5283870986</v>
      </c>
      <c r="C21" s="43">
        <f t="shared" si="4"/>
        <v>8157523.5707029151</v>
      </c>
      <c r="D21" s="43">
        <f t="shared" si="4"/>
        <v>8150944.9226620244</v>
      </c>
      <c r="E21" s="43">
        <f t="shared" si="4"/>
        <v>8144371.5799824586</v>
      </c>
      <c r="F21" s="43">
        <f t="shared" si="4"/>
        <v>8137803.5383856986</v>
      </c>
      <c r="G21" s="43">
        <f t="shared" si="4"/>
        <v>8131240.7935966784</v>
      </c>
      <c r="H21" s="43">
        <f t="shared" si="4"/>
        <v>8124683.3413437773</v>
      </c>
      <c r="I21" s="43">
        <f t="shared" si="4"/>
        <v>8118131.1773588229</v>
      </c>
      <c r="J21" s="43">
        <f t="shared" si="4"/>
        <v>8111584.2973770835</v>
      </c>
      <c r="K21" s="43">
        <f t="shared" si="4"/>
        <v>8105042.6971372627</v>
      </c>
      <c r="L21" s="43">
        <f t="shared" si="4"/>
        <v>8098506.3723815084</v>
      </c>
      <c r="M21" s="43">
        <f t="shared" si="4"/>
        <v>8091975.3188553927</v>
      </c>
      <c r="N21" s="43">
        <f t="shared" si="4"/>
        <v>8085449.5323079284</v>
      </c>
      <c r="O21" s="43">
        <f t="shared" si="4"/>
        <v>8078929.0084915515</v>
      </c>
      <c r="P21" s="43">
        <f t="shared" si="4"/>
        <v>8072413.7431621216</v>
      </c>
      <c r="Q21" s="43">
        <f t="shared" si="4"/>
        <v>8065903.7320789285</v>
      </c>
      <c r="R21" s="43">
        <f t="shared" si="4"/>
        <v>8059398.9710046705</v>
      </c>
      <c r="S21" s="43">
        <f t="shared" si="4"/>
        <v>8052899.4557054723</v>
      </c>
      <c r="T21" s="43">
        <f t="shared" si="4"/>
        <v>8046405.1819508728</v>
      </c>
      <c r="U21" s="43">
        <f t="shared" si="4"/>
        <v>8039916.1455138158</v>
      </c>
      <c r="V21" s="43">
        <f t="shared" si="4"/>
        <v>8033432.3421706595</v>
      </c>
      <c r="W21" s="43">
        <f t="shared" si="4"/>
        <v>8026953.7677011667</v>
      </c>
      <c r="X21" s="43">
        <f t="shared" si="4"/>
        <v>8020480.4178885054</v>
      </c>
      <c r="Y21" s="43">
        <f t="shared" si="4"/>
        <v>8014012.2885192391</v>
      </c>
      <c r="Z21" s="43">
        <f t="shared" si="4"/>
        <v>8007549.3753833361</v>
      </c>
      <c r="AA21" s="43">
        <f t="shared" si="4"/>
        <v>8001091.6742741568</v>
      </c>
      <c r="AB21" s="43">
        <f t="shared" si="4"/>
        <v>7994639.1809884505</v>
      </c>
      <c r="AC21" s="43">
        <f t="shared" si="4"/>
        <v>7988191.8913263632</v>
      </c>
      <c r="AD21" s="43">
        <f t="shared" si="4"/>
        <v>7981749.8010914242</v>
      </c>
      <c r="AE21" s="43">
        <f t="shared" si="4"/>
        <v>7975312.9060905417</v>
      </c>
      <c r="AF21" s="43">
        <f t="shared" si="4"/>
        <v>7968881.2021340178</v>
      </c>
      <c r="AG21" s="43">
        <f t="shared" si="4"/>
        <v>7962454.6850355221</v>
      </c>
      <c r="AH21" s="43">
        <f t="shared" ref="AH21:BL21" si="5">(AH20*$B$12)</f>
        <v>7956033.3506121077</v>
      </c>
      <c r="AI21" s="43">
        <f t="shared" si="5"/>
        <v>7949617.1946841925</v>
      </c>
      <c r="AJ21" s="43">
        <f t="shared" si="5"/>
        <v>7943206.2130755764</v>
      </c>
      <c r="AK21" s="43">
        <f t="shared" si="5"/>
        <v>7936800.4016134208</v>
      </c>
      <c r="AL21" s="43">
        <f t="shared" si="5"/>
        <v>7930399.7561282469</v>
      </c>
      <c r="AM21" s="43">
        <f t="shared" si="5"/>
        <v>7924004.2724539498</v>
      </c>
      <c r="AN21" s="43">
        <f t="shared" si="5"/>
        <v>7917613.9464277774</v>
      </c>
      <c r="AO21" s="43">
        <f t="shared" si="5"/>
        <v>7911228.7738903351</v>
      </c>
      <c r="AP21" s="43">
        <f t="shared" si="5"/>
        <v>7904848.7506855829</v>
      </c>
      <c r="AQ21" s="43">
        <f t="shared" si="5"/>
        <v>7898473.8726608371</v>
      </c>
      <c r="AR21" s="43">
        <f t="shared" si="5"/>
        <v>7892104.135666756</v>
      </c>
      <c r="AS21" s="43">
        <f t="shared" si="5"/>
        <v>7885739.5355573473</v>
      </c>
      <c r="AT21" s="43">
        <f t="shared" si="5"/>
        <v>7879380.0681899637</v>
      </c>
      <c r="AU21" s="43">
        <f t="shared" si="5"/>
        <v>7873025.7294252925</v>
      </c>
      <c r="AV21" s="43">
        <f t="shared" si="5"/>
        <v>7866676.5151273701</v>
      </c>
      <c r="AW21" s="43">
        <f t="shared" si="5"/>
        <v>7860332.4211635571</v>
      </c>
      <c r="AX21" s="43">
        <f t="shared" si="5"/>
        <v>7853993.4434045525</v>
      </c>
      <c r="AY21" s="43">
        <f t="shared" si="5"/>
        <v>7847659.5777243879</v>
      </c>
      <c r="AZ21" s="43">
        <f t="shared" si="5"/>
        <v>7841330.8200004147</v>
      </c>
      <c r="BA21" s="43">
        <f t="shared" si="5"/>
        <v>7835007.1661133189</v>
      </c>
      <c r="BB21" s="43">
        <f t="shared" si="5"/>
        <v>7828688.6119470978</v>
      </c>
      <c r="BC21" s="43">
        <f t="shared" si="5"/>
        <v>7822375.1533890767</v>
      </c>
      <c r="BD21" s="43">
        <f t="shared" si="5"/>
        <v>7816066.7863298925</v>
      </c>
      <c r="BE21" s="43">
        <f t="shared" si="5"/>
        <v>7809763.5066634957</v>
      </c>
      <c r="BF21" s="43">
        <f t="shared" si="5"/>
        <v>7803465.3102871543</v>
      </c>
      <c r="BG21" s="43">
        <f t="shared" si="5"/>
        <v>7797172.1931014387</v>
      </c>
      <c r="BH21" s="43">
        <f t="shared" si="5"/>
        <v>7790884.1510102265</v>
      </c>
      <c r="BI21" s="43">
        <f t="shared" si="5"/>
        <v>7784601.1799207022</v>
      </c>
      <c r="BJ21" s="43">
        <f t="shared" si="5"/>
        <v>7778323.2757433457</v>
      </c>
      <c r="BK21" s="43">
        <f t="shared" si="5"/>
        <v>7772050.4343919409</v>
      </c>
      <c r="BL21" s="43">
        <f t="shared" si="5"/>
        <v>7765782.6517835604</v>
      </c>
    </row>
    <row r="22" spans="1:64" ht="15">
      <c r="A22" s="4" t="s">
        <v>51</v>
      </c>
      <c r="B22" s="41">
        <f>Flujograma!E47</f>
        <v>35641.990322580648</v>
      </c>
      <c r="C22" s="41">
        <f>Flujograma!F47</f>
        <v>35618.995490114467</v>
      </c>
      <c r="D22" s="41">
        <f>Flujograma!G47</f>
        <v>35596.015493024068</v>
      </c>
      <c r="E22" s="41">
        <f>Flujograma!H47</f>
        <v>35573.050321738243</v>
      </c>
      <c r="F22" s="41">
        <f>Flujograma!I47</f>
        <v>35550.09996669196</v>
      </c>
      <c r="G22" s="41">
        <f>Flujograma!J47</f>
        <v>35527.164418326349</v>
      </c>
      <c r="H22" s="41">
        <f>Flujograma!K47</f>
        <v>35504.243667088718</v>
      </c>
      <c r="I22" s="41">
        <f>Flujograma!L47</f>
        <v>35481.337703432531</v>
      </c>
      <c r="J22" s="41">
        <f>Flujograma!M47</f>
        <v>35458.446517817414</v>
      </c>
      <c r="K22" s="41">
        <f>Flujograma!N47</f>
        <v>35435.570100709148</v>
      </c>
      <c r="L22" s="41">
        <f>Flujograma!O47</f>
        <v>35412.708442579657</v>
      </c>
      <c r="M22" s="41">
        <f>Flujograma!P47</f>
        <v>35389.861533907024</v>
      </c>
      <c r="N22" s="41">
        <f>Flujograma!Q47</f>
        <v>35367.029365175469</v>
      </c>
      <c r="O22" s="41">
        <f>Flujograma!R47</f>
        <v>35344.211926875359</v>
      </c>
      <c r="P22" s="41">
        <f>Flujograma!S47</f>
        <v>35321.409209503181</v>
      </c>
      <c r="Q22" s="41">
        <f>Flujograma!T47</f>
        <v>35298.621203561568</v>
      </c>
      <c r="R22" s="41">
        <f>Flujograma!U47</f>
        <v>35275.847899559267</v>
      </c>
      <c r="S22" s="41">
        <f>Flujograma!V47</f>
        <v>35253.089288011164</v>
      </c>
      <c r="T22" s="41">
        <f>Flujograma!W47</f>
        <v>35230.345359438252</v>
      </c>
      <c r="U22" s="41">
        <f>Flujograma!X47</f>
        <v>35207.616104367647</v>
      </c>
      <c r="V22" s="41">
        <f>Flujograma!Y47</f>
        <v>35184.901513332574</v>
      </c>
      <c r="W22" s="41">
        <f>Flujograma!Z47</f>
        <v>35162.201576872358</v>
      </c>
      <c r="X22" s="41">
        <f>Flujograma!AA47</f>
        <v>35139.516285532438</v>
      </c>
      <c r="Y22" s="41">
        <f>Flujograma!AB47</f>
        <v>35116.84562986435</v>
      </c>
      <c r="Z22" s="41">
        <f>Flujograma!AC47</f>
        <v>35094.189600425729</v>
      </c>
      <c r="AA22" s="41">
        <f>Flujograma!AD47</f>
        <v>35071.548187780296</v>
      </c>
      <c r="AB22" s="41">
        <f>Flujograma!AE47</f>
        <v>35048.921382497858</v>
      </c>
      <c r="AC22" s="41">
        <f>Flujograma!AF47</f>
        <v>35026.309175154311</v>
      </c>
      <c r="AD22" s="41">
        <f>Flujograma!AG47</f>
        <v>35003.711556331633</v>
      </c>
      <c r="AE22" s="41">
        <f>Flujograma!AH47</f>
        <v>34981.128516617871</v>
      </c>
      <c r="AF22" s="41">
        <f>Flujograma!AI47</f>
        <v>34958.560046607148</v>
      </c>
      <c r="AG22" s="41">
        <f>Flujograma!AJ47</f>
        <v>34936.006136899661</v>
      </c>
      <c r="AH22" s="41">
        <f>Flujograma!AK47</f>
        <v>34913.466778101661</v>
      </c>
      <c r="AI22" s="41">
        <f>Flujograma!AL47</f>
        <v>34890.941960825468</v>
      </c>
      <c r="AJ22" s="41">
        <f>Flujograma!AM47</f>
        <v>34868.431675689455</v>
      </c>
      <c r="AK22" s="41">
        <f>Flujograma!AN47</f>
        <v>34845.935913318041</v>
      </c>
      <c r="AL22" s="41">
        <f>Flujograma!AO47</f>
        <v>34823.454664341705</v>
      </c>
      <c r="AM22" s="41">
        <f>Flujograma!AP47</f>
        <v>34800.987919396968</v>
      </c>
      <c r="AN22" s="41">
        <f>Flujograma!AQ47</f>
        <v>34778.535669126388</v>
      </c>
      <c r="AO22" s="41">
        <f>Flujograma!AR47</f>
        <v>34756.097904178561</v>
      </c>
      <c r="AP22" s="41">
        <f>Flujograma!AS47</f>
        <v>34733.674615208125</v>
      </c>
      <c r="AQ22" s="41">
        <f>Flujograma!AT47</f>
        <v>34711.265792875733</v>
      </c>
      <c r="AR22" s="41">
        <f>Flujograma!AU47</f>
        <v>34688.871427848069</v>
      </c>
      <c r="AS22" s="41">
        <f>Flujograma!AV47</f>
        <v>34666.491510797845</v>
      </c>
      <c r="AT22" s="41">
        <f>Flujograma!AW47</f>
        <v>34644.126032403779</v>
      </c>
      <c r="AU22" s="41">
        <f>Flujograma!AX47</f>
        <v>34621.774983350617</v>
      </c>
      <c r="AV22" s="41">
        <f>Flujograma!AY47</f>
        <v>34599.438354329097</v>
      </c>
      <c r="AW22" s="41">
        <f>Flujograma!AZ47</f>
        <v>34577.116136035984</v>
      </c>
      <c r="AX22" s="41">
        <f>Flujograma!BA47</f>
        <v>34554.808319174022</v>
      </c>
      <c r="AY22" s="41">
        <f>Flujograma!BB47</f>
        <v>34532.514894451975</v>
      </c>
      <c r="AZ22" s="41">
        <f>Flujograma!BC47</f>
        <v>34510.235852584585</v>
      </c>
      <c r="BA22" s="41">
        <f>Flujograma!BD47</f>
        <v>34487.971184292597</v>
      </c>
      <c r="BB22" s="41">
        <f>Flujograma!BE47</f>
        <v>34465.720880302732</v>
      </c>
      <c r="BC22" s="41">
        <f>Flujograma!BF47</f>
        <v>34443.484931347695</v>
      </c>
      <c r="BD22" s="41">
        <f>Flujograma!BG47</f>
        <v>34421.263328166184</v>
      </c>
      <c r="BE22" s="41">
        <f>Flujograma!BH47</f>
        <v>34399.056061502852</v>
      </c>
      <c r="BF22" s="41">
        <f>Flujograma!BI47</f>
        <v>34376.863122108334</v>
      </c>
      <c r="BG22" s="41">
        <f>Flujograma!BJ47</f>
        <v>34354.684500739233</v>
      </c>
      <c r="BH22" s="41">
        <f>Flujograma!BK47</f>
        <v>34332.520188158109</v>
      </c>
      <c r="BI22" s="41">
        <f>Flujograma!BL47</f>
        <v>34310.370175133488</v>
      </c>
      <c r="BJ22" s="41">
        <f>Flujograma!BM47</f>
        <v>34288.23445243985</v>
      </c>
      <c r="BK22" s="41">
        <f>Flujograma!BN47</f>
        <v>34266.113010857633</v>
      </c>
      <c r="BL22" s="41">
        <f>Flujograma!BO47</f>
        <v>34244.00584117321</v>
      </c>
    </row>
    <row r="23" spans="1:64" ht="15">
      <c r="A23" s="4" t="s">
        <v>52</v>
      </c>
      <c r="B23" s="41">
        <f>Flujograma!E48</f>
        <v>27115.000557806456</v>
      </c>
      <c r="C23" s="41">
        <f>Flujograma!F48</f>
        <v>27097.507009059485</v>
      </c>
      <c r="D23" s="41">
        <f>Flujograma!G48</f>
        <v>27080.024746472991</v>
      </c>
      <c r="E23" s="41">
        <f>Flujograma!H48</f>
        <v>27062.553762765587</v>
      </c>
      <c r="F23" s="41">
        <f>Flujograma!I48</f>
        <v>27045.094050660577</v>
      </c>
      <c r="G23" s="41">
        <f>Flujograma!J48</f>
        <v>27027.645602885954</v>
      </c>
      <c r="H23" s="41">
        <f>Flujograma!K48</f>
        <v>27010.208412174416</v>
      </c>
      <c r="I23" s="41">
        <f>Flujograma!L48</f>
        <v>26992.782471263334</v>
      </c>
      <c r="J23" s="41">
        <f>Flujograma!M48</f>
        <v>26975.367772894777</v>
      </c>
      <c r="K23" s="41">
        <f>Flujograma!N48</f>
        <v>26957.964309815492</v>
      </c>
      <c r="L23" s="41">
        <f>Flujograma!O48</f>
        <v>26940.572074776901</v>
      </c>
      <c r="M23" s="41">
        <f>Flujograma!P48</f>
        <v>26923.191060535111</v>
      </c>
      <c r="N23" s="41">
        <f>Flujograma!Q48</f>
        <v>26905.821259850894</v>
      </c>
      <c r="O23" s="41">
        <f>Flujograma!R48</f>
        <v>26888.4626654897</v>
      </c>
      <c r="P23" s="41">
        <f>Flujograma!S48</f>
        <v>26871.115270221642</v>
      </c>
      <c r="Q23" s="41">
        <f>Flujograma!T48</f>
        <v>26853.779066821502</v>
      </c>
      <c r="R23" s="41">
        <f>Flujograma!U48</f>
        <v>26836.45404806871</v>
      </c>
      <c r="S23" s="41">
        <f>Flujograma!V48</f>
        <v>26819.140206747375</v>
      </c>
      <c r="T23" s="41">
        <f>Flujograma!W48</f>
        <v>26801.837535646249</v>
      </c>
      <c r="U23" s="41">
        <f>Flujograma!X48</f>
        <v>26784.546027558732</v>
      </c>
      <c r="V23" s="41">
        <f>Flujograma!Y48</f>
        <v>26767.265675282888</v>
      </c>
      <c r="W23" s="41">
        <f>Flujograma!Z48</f>
        <v>26749.996471621416</v>
      </c>
      <c r="X23" s="41">
        <f>Flujograma!AA48</f>
        <v>26732.738409381662</v>
      </c>
      <c r="Y23" s="41">
        <f>Flujograma!AB48</f>
        <v>26715.491481375604</v>
      </c>
      <c r="Z23" s="41">
        <f>Flujograma!AC48</f>
        <v>26698.255680419876</v>
      </c>
      <c r="AA23" s="41">
        <f>Flujograma!AD48</f>
        <v>26681.03099933574</v>
      </c>
      <c r="AB23" s="41">
        <f>Flujograma!AE48</f>
        <v>26663.817430949075</v>
      </c>
      <c r="AC23" s="41">
        <f>Flujograma!AF48</f>
        <v>26646.614968090391</v>
      </c>
      <c r="AD23" s="41">
        <f>Flujograma!AG48</f>
        <v>26629.423603594856</v>
      </c>
      <c r="AE23" s="41">
        <f>Flujograma!AH48</f>
        <v>26612.243330302212</v>
      </c>
      <c r="AF23" s="41">
        <f>Flujograma!AI48</f>
        <v>26595.074141056855</v>
      </c>
      <c r="AG23" s="41">
        <f>Flujograma!AJ48</f>
        <v>26577.916028707787</v>
      </c>
      <c r="AH23" s="41">
        <f>Flujograma!AK48</f>
        <v>26560.768986108618</v>
      </c>
      <c r="AI23" s="41">
        <f>Flujograma!AL48</f>
        <v>26543.633006117587</v>
      </c>
      <c r="AJ23" s="41">
        <f>Flujograma!AM48</f>
        <v>26526.508081597516</v>
      </c>
      <c r="AK23" s="41">
        <f>Flujograma!AN48</f>
        <v>26509.394205415832</v>
      </c>
      <c r="AL23" s="41">
        <f>Flujograma!AO48</f>
        <v>26492.291370444596</v>
      </c>
      <c r="AM23" s="41">
        <f>Flujograma!AP48</f>
        <v>26475.199569560438</v>
      </c>
      <c r="AN23" s="41">
        <f>Flujograma!AQ48</f>
        <v>26458.118795644594</v>
      </c>
      <c r="AO23" s="41">
        <f>Flujograma!AR48</f>
        <v>26441.049041582883</v>
      </c>
      <c r="AP23" s="41">
        <f>Flujograma!AS48</f>
        <v>26423.990300265737</v>
      </c>
      <c r="AQ23" s="41">
        <f>Flujograma!AT48</f>
        <v>26406.942564588146</v>
      </c>
      <c r="AR23" s="41">
        <f>Flujograma!AU48</f>
        <v>26389.905827449697</v>
      </c>
      <c r="AS23" s="41">
        <f>Flujograma!AV48</f>
        <v>26372.880081754574</v>
      </c>
      <c r="AT23" s="41">
        <f>Flujograma!AW48</f>
        <v>26355.865320411503</v>
      </c>
      <c r="AU23" s="41">
        <f>Flujograma!AX48</f>
        <v>26338.861536333818</v>
      </c>
      <c r="AV23" s="41">
        <f>Flujograma!AY48</f>
        <v>26321.868722439405</v>
      </c>
      <c r="AW23" s="41">
        <f>Flujograma!AZ48</f>
        <v>26304.886871650735</v>
      </c>
      <c r="AX23" s="41">
        <f>Flujograma!BA48</f>
        <v>26287.91597689483</v>
      </c>
      <c r="AY23" s="41">
        <f>Flujograma!BB48</f>
        <v>26270.956031103287</v>
      </c>
      <c r="AZ23" s="41">
        <f>Flujograma!BC48</f>
        <v>26254.00702721225</v>
      </c>
      <c r="BA23" s="41">
        <f>Flujograma!BD48</f>
        <v>26237.068958162439</v>
      </c>
      <c r="BB23" s="41">
        <f>Flujograma!BE48</f>
        <v>26220.141816899111</v>
      </c>
      <c r="BC23" s="41">
        <f>Flujograma!BF48</f>
        <v>26203.225596372071</v>
      </c>
      <c r="BD23" s="41">
        <f>Flujograma!BG48</f>
        <v>26186.32028953571</v>
      </c>
      <c r="BE23" s="41">
        <f>Flujograma!BH48</f>
        <v>26169.42588934891</v>
      </c>
      <c r="BF23" s="41">
        <f>Flujograma!BI48</f>
        <v>26152.542388775135</v>
      </c>
      <c r="BG23" s="41">
        <f>Flujograma!BJ48</f>
        <v>26135.66978078238</v>
      </c>
      <c r="BH23" s="41">
        <f>Flujograma!BK48</f>
        <v>26118.808058343166</v>
      </c>
      <c r="BI23" s="41">
        <f>Flujograma!BL48</f>
        <v>26101.957214434551</v>
      </c>
      <c r="BJ23" s="41">
        <f>Flujograma!BM48</f>
        <v>26085.117242038144</v>
      </c>
      <c r="BK23" s="41">
        <f>Flujograma!BN48</f>
        <v>26068.288134140053</v>
      </c>
      <c r="BL23" s="41">
        <f>Flujograma!BO48</f>
        <v>26051.469883730933</v>
      </c>
    </row>
    <row r="24" spans="1:64" ht="15">
      <c r="A24" s="3" t="s">
        <v>53</v>
      </c>
      <c r="B24" s="12">
        <f t="shared" ref="B24:AG24" si="6">(B23*$B$12)</f>
        <v>8134500.1673419364</v>
      </c>
      <c r="C24" s="12">
        <f t="shared" si="6"/>
        <v>8129252.1027178457</v>
      </c>
      <c r="D24" s="12">
        <f t="shared" si="6"/>
        <v>8124007.4239418972</v>
      </c>
      <c r="E24" s="12">
        <f t="shared" si="6"/>
        <v>8118766.1288296757</v>
      </c>
      <c r="F24" s="12">
        <f t="shared" si="6"/>
        <v>8113528.2151981732</v>
      </c>
      <c r="G24" s="12">
        <f t="shared" si="6"/>
        <v>8108293.680865786</v>
      </c>
      <c r="H24" s="12">
        <f t="shared" si="6"/>
        <v>8103062.5236523245</v>
      </c>
      <c r="I24" s="12">
        <f t="shared" si="6"/>
        <v>8097834.7413790002</v>
      </c>
      <c r="J24" s="12">
        <f t="shared" si="6"/>
        <v>8092610.3318684334</v>
      </c>
      <c r="K24" s="12">
        <f t="shared" si="6"/>
        <v>8087389.2929446474</v>
      </c>
      <c r="L24" s="12">
        <f t="shared" si="6"/>
        <v>8082171.6224330701</v>
      </c>
      <c r="M24" s="12">
        <f t="shared" si="6"/>
        <v>8076957.318160533</v>
      </c>
      <c r="N24" s="12">
        <f t="shared" si="6"/>
        <v>8071746.3779552681</v>
      </c>
      <c r="O24" s="12">
        <f t="shared" si="6"/>
        <v>8066538.7996469103</v>
      </c>
      <c r="P24" s="12">
        <f t="shared" si="6"/>
        <v>8061334.5810664929</v>
      </c>
      <c r="Q24" s="12">
        <f t="shared" si="6"/>
        <v>8056133.7200464504</v>
      </c>
      <c r="R24" s="12">
        <f t="shared" si="6"/>
        <v>8050936.2144206129</v>
      </c>
      <c r="S24" s="12">
        <f t="shared" si="6"/>
        <v>8045742.0620242124</v>
      </c>
      <c r="T24" s="12">
        <f t="shared" si="6"/>
        <v>8040551.2606938751</v>
      </c>
      <c r="U24" s="12">
        <f t="shared" si="6"/>
        <v>8035363.8082676195</v>
      </c>
      <c r="V24" s="12">
        <f t="shared" si="6"/>
        <v>8030179.7025848664</v>
      </c>
      <c r="W24" s="12">
        <f t="shared" si="6"/>
        <v>8024998.9414864248</v>
      </c>
      <c r="X24" s="12">
        <f t="shared" si="6"/>
        <v>8019821.5228144983</v>
      </c>
      <c r="Y24" s="12">
        <f t="shared" si="6"/>
        <v>8014647.4444126813</v>
      </c>
      <c r="Z24" s="12">
        <f t="shared" si="6"/>
        <v>8009476.7041259632</v>
      </c>
      <c r="AA24" s="12">
        <f t="shared" si="6"/>
        <v>8004309.2998007219</v>
      </c>
      <c r="AB24" s="12">
        <f t="shared" si="6"/>
        <v>7999145.2292847224</v>
      </c>
      <c r="AC24" s="12">
        <f t="shared" si="6"/>
        <v>7993984.4904271169</v>
      </c>
      <c r="AD24" s="12">
        <f t="shared" si="6"/>
        <v>7988827.0810784567</v>
      </c>
      <c r="AE24" s="12">
        <f t="shared" si="6"/>
        <v>7983672.9990906632</v>
      </c>
      <c r="AF24" s="12">
        <f t="shared" si="6"/>
        <v>7978522.2423170563</v>
      </c>
      <c r="AG24" s="12">
        <f t="shared" si="6"/>
        <v>7973374.8086123364</v>
      </c>
      <c r="AH24" s="12">
        <f t="shared" ref="AH24:BL24" si="7">(AH23*$B$12)</f>
        <v>7968230.6958325859</v>
      </c>
      <c r="AI24" s="12">
        <f t="shared" si="7"/>
        <v>7963089.9018352758</v>
      </c>
      <c r="AJ24" s="12">
        <f t="shared" si="7"/>
        <v>7957952.4244792545</v>
      </c>
      <c r="AK24" s="12">
        <f t="shared" si="7"/>
        <v>7952818.2616247497</v>
      </c>
      <c r="AL24" s="12">
        <f t="shared" si="7"/>
        <v>7947687.4111333787</v>
      </c>
      <c r="AM24" s="12">
        <f t="shared" si="7"/>
        <v>7942559.8708681315</v>
      </c>
      <c r="AN24" s="12">
        <f t="shared" si="7"/>
        <v>7937435.6386933783</v>
      </c>
      <c r="AO24" s="12">
        <f t="shared" si="7"/>
        <v>7932314.7124748649</v>
      </c>
      <c r="AP24" s="12">
        <f t="shared" si="7"/>
        <v>7927197.0900797211</v>
      </c>
      <c r="AQ24" s="12">
        <f t="shared" si="7"/>
        <v>7922082.7693764437</v>
      </c>
      <c r="AR24" s="12">
        <f t="shared" si="7"/>
        <v>7916971.748234909</v>
      </c>
      <c r="AS24" s="12">
        <f t="shared" si="7"/>
        <v>7911864.0245263726</v>
      </c>
      <c r="AT24" s="12">
        <f t="shared" si="7"/>
        <v>7906759.5961234514</v>
      </c>
      <c r="AU24" s="12">
        <f t="shared" si="7"/>
        <v>7901658.4609001456</v>
      </c>
      <c r="AV24" s="12">
        <f t="shared" si="7"/>
        <v>7896560.6167318216</v>
      </c>
      <c r="AW24" s="12">
        <f t="shared" si="7"/>
        <v>7891466.0614952203</v>
      </c>
      <c r="AX24" s="12">
        <f t="shared" si="7"/>
        <v>7886374.793068449</v>
      </c>
      <c r="AY24" s="12">
        <f t="shared" si="7"/>
        <v>7881286.8093309859</v>
      </c>
      <c r="AZ24" s="12">
        <f t="shared" si="7"/>
        <v>7876202.1081636753</v>
      </c>
      <c r="BA24" s="12">
        <f t="shared" si="7"/>
        <v>7871120.6874487316</v>
      </c>
      <c r="BB24" s="12">
        <f t="shared" si="7"/>
        <v>7866042.5450697336</v>
      </c>
      <c r="BC24" s="12">
        <f t="shared" si="7"/>
        <v>7860967.6789116217</v>
      </c>
      <c r="BD24" s="12">
        <f t="shared" si="7"/>
        <v>7855896.0868607126</v>
      </c>
      <c r="BE24" s="12">
        <f t="shared" si="7"/>
        <v>7850827.7668046728</v>
      </c>
      <c r="BF24" s="12">
        <f t="shared" si="7"/>
        <v>7845762.7166325403</v>
      </c>
      <c r="BG24" s="12">
        <f t="shared" si="7"/>
        <v>7840700.9342347141</v>
      </c>
      <c r="BH24" s="12">
        <f t="shared" si="7"/>
        <v>7835642.4175029499</v>
      </c>
      <c r="BI24" s="12">
        <f t="shared" si="7"/>
        <v>7830587.1643303651</v>
      </c>
      <c r="BJ24" s="12">
        <f t="shared" si="7"/>
        <v>7825535.1726114433</v>
      </c>
      <c r="BK24" s="12">
        <f t="shared" si="7"/>
        <v>7820486.4402420158</v>
      </c>
      <c r="BL24" s="12">
        <f t="shared" si="7"/>
        <v>7815440.9651192799</v>
      </c>
    </row>
    <row r="25" spans="1:64" ht="15">
      <c r="A25" s="42" t="s">
        <v>54</v>
      </c>
      <c r="B25" s="14">
        <f t="shared" ref="B25:AG25" si="8">(B21+B24)</f>
        <v>16298607.695729036</v>
      </c>
      <c r="C25" s="14">
        <f t="shared" si="8"/>
        <v>16286775.673420761</v>
      </c>
      <c r="D25" s="14">
        <f t="shared" si="8"/>
        <v>16274952.346603923</v>
      </c>
      <c r="E25" s="14">
        <f t="shared" si="8"/>
        <v>16263137.708812134</v>
      </c>
      <c r="F25" s="14">
        <f t="shared" si="8"/>
        <v>16251331.753583871</v>
      </c>
      <c r="G25" s="14">
        <f t="shared" si="8"/>
        <v>16239534.474462464</v>
      </c>
      <c r="H25" s="14">
        <f t="shared" si="8"/>
        <v>16227745.864996102</v>
      </c>
      <c r="I25" s="14">
        <f t="shared" si="8"/>
        <v>16215965.918737823</v>
      </c>
      <c r="J25" s="14">
        <f t="shared" si="8"/>
        <v>16204194.629245516</v>
      </c>
      <c r="K25" s="14">
        <f t="shared" si="8"/>
        <v>16192431.99008191</v>
      </c>
      <c r="L25" s="14">
        <f t="shared" si="8"/>
        <v>16180677.994814578</v>
      </c>
      <c r="M25" s="14">
        <f t="shared" si="8"/>
        <v>16168932.637015926</v>
      </c>
      <c r="N25" s="14">
        <f t="shared" si="8"/>
        <v>16157195.910263196</v>
      </c>
      <c r="O25" s="14">
        <f t="shared" si="8"/>
        <v>16145467.808138462</v>
      </c>
      <c r="P25" s="14">
        <f t="shared" si="8"/>
        <v>16133748.324228615</v>
      </c>
      <c r="Q25" s="14">
        <f t="shared" si="8"/>
        <v>16122037.452125378</v>
      </c>
      <c r="R25" s="14">
        <f t="shared" si="8"/>
        <v>16110335.185425283</v>
      </c>
      <c r="S25" s="14">
        <f t="shared" si="8"/>
        <v>16098641.517729685</v>
      </c>
      <c r="T25" s="14">
        <f t="shared" si="8"/>
        <v>16086956.442644749</v>
      </c>
      <c r="U25" s="14">
        <f t="shared" si="8"/>
        <v>16075279.953781435</v>
      </c>
      <c r="V25" s="14">
        <f t="shared" si="8"/>
        <v>16063612.044755526</v>
      </c>
      <c r="W25" s="14">
        <f t="shared" si="8"/>
        <v>16051952.709187591</v>
      </c>
      <c r="X25" s="14">
        <f t="shared" si="8"/>
        <v>16040301.940703005</v>
      </c>
      <c r="Y25" s="14">
        <f t="shared" si="8"/>
        <v>16028659.732931919</v>
      </c>
      <c r="Z25" s="14">
        <f t="shared" si="8"/>
        <v>16017026.079509299</v>
      </c>
      <c r="AA25" s="14">
        <f t="shared" si="8"/>
        <v>16005400.974074878</v>
      </c>
      <c r="AB25" s="14">
        <f t="shared" si="8"/>
        <v>15993784.410273172</v>
      </c>
      <c r="AC25" s="14">
        <f t="shared" si="8"/>
        <v>15982176.38175348</v>
      </c>
      <c r="AD25" s="14">
        <f t="shared" si="8"/>
        <v>15970576.88216988</v>
      </c>
      <c r="AE25" s="14">
        <f t="shared" si="8"/>
        <v>15958985.905181205</v>
      </c>
      <c r="AF25" s="14">
        <f t="shared" si="8"/>
        <v>15947403.444451075</v>
      </c>
      <c r="AG25" s="14">
        <f t="shared" si="8"/>
        <v>15935829.493647859</v>
      </c>
      <c r="AH25" s="14">
        <f t="shared" ref="AH25:BL25" si="9">(AH21+AH24)</f>
        <v>15924264.046444694</v>
      </c>
      <c r="AI25" s="14">
        <f t="shared" si="9"/>
        <v>15912707.096519468</v>
      </c>
      <c r="AJ25" s="14">
        <f t="shared" si="9"/>
        <v>15901158.637554832</v>
      </c>
      <c r="AK25" s="14">
        <f t="shared" si="9"/>
        <v>15889618.663238171</v>
      </c>
      <c r="AL25" s="14">
        <f t="shared" si="9"/>
        <v>15878087.167261627</v>
      </c>
      <c r="AM25" s="14">
        <f t="shared" si="9"/>
        <v>15866564.14332208</v>
      </c>
      <c r="AN25" s="14">
        <f t="shared" si="9"/>
        <v>15855049.585121155</v>
      </c>
      <c r="AO25" s="14">
        <f t="shared" si="9"/>
        <v>15843543.486365199</v>
      </c>
      <c r="AP25" s="14">
        <f t="shared" si="9"/>
        <v>15832045.840765305</v>
      </c>
      <c r="AQ25" s="14">
        <f t="shared" si="9"/>
        <v>15820556.64203728</v>
      </c>
      <c r="AR25" s="14">
        <f t="shared" si="9"/>
        <v>15809075.883901665</v>
      </c>
      <c r="AS25" s="14">
        <f t="shared" si="9"/>
        <v>15797603.560083721</v>
      </c>
      <c r="AT25" s="14">
        <f t="shared" si="9"/>
        <v>15786139.664313415</v>
      </c>
      <c r="AU25" s="14">
        <f t="shared" si="9"/>
        <v>15774684.190325439</v>
      </c>
      <c r="AV25" s="14">
        <f t="shared" si="9"/>
        <v>15763237.131859191</v>
      </c>
      <c r="AW25" s="14">
        <f t="shared" si="9"/>
        <v>15751798.482658777</v>
      </c>
      <c r="AX25" s="14">
        <f t="shared" si="9"/>
        <v>15740368.236473002</v>
      </c>
      <c r="AY25" s="14">
        <f t="shared" si="9"/>
        <v>15728946.387055375</v>
      </c>
      <c r="AZ25" s="14">
        <f t="shared" si="9"/>
        <v>15717532.928164091</v>
      </c>
      <c r="BA25" s="14">
        <f t="shared" si="9"/>
        <v>15706127.85356205</v>
      </c>
      <c r="BB25" s="14">
        <f t="shared" si="9"/>
        <v>15694731.157016832</v>
      </c>
      <c r="BC25" s="14">
        <f t="shared" si="9"/>
        <v>15683342.832300698</v>
      </c>
      <c r="BD25" s="14">
        <f t="shared" si="9"/>
        <v>15671962.873190604</v>
      </c>
      <c r="BE25" s="14">
        <f t="shared" si="9"/>
        <v>15660591.273468168</v>
      </c>
      <c r="BF25" s="14">
        <f t="shared" si="9"/>
        <v>15649228.026919695</v>
      </c>
      <c r="BG25" s="14">
        <f t="shared" si="9"/>
        <v>15637873.127336152</v>
      </c>
      <c r="BH25" s="14">
        <f t="shared" si="9"/>
        <v>15626526.568513177</v>
      </c>
      <c r="BI25" s="14">
        <f t="shared" si="9"/>
        <v>15615188.344251066</v>
      </c>
      <c r="BJ25" s="14">
        <f t="shared" si="9"/>
        <v>15603858.448354788</v>
      </c>
      <c r="BK25" s="14">
        <f t="shared" si="9"/>
        <v>15592536.874633957</v>
      </c>
      <c r="BL25" s="14">
        <f t="shared" si="9"/>
        <v>15581223.616902839</v>
      </c>
    </row>
    <row r="26" spans="1:64" ht="15">
      <c r="A26" s="3" t="s">
        <v>55</v>
      </c>
      <c r="B26" s="4"/>
      <c r="C26" s="4"/>
      <c r="D26" s="4"/>
      <c r="E26" s="9">
        <f>(SUM(B25:E25))</f>
        <v>65123473.424565852</v>
      </c>
      <c r="F26" s="4"/>
      <c r="G26" s="4"/>
      <c r="H26" s="4"/>
      <c r="I26" s="4">
        <f>(SUM(F25:I25))</f>
        <v>64934578.011780255</v>
      </c>
      <c r="J26" s="4"/>
      <c r="K26" s="4"/>
      <c r="L26" s="4"/>
      <c r="M26" s="4">
        <f>(SUM(J25:M25))</f>
        <v>64746237.251157925</v>
      </c>
      <c r="N26" s="4"/>
      <c r="O26" s="4"/>
      <c r="P26" s="4"/>
      <c r="Q26" s="4">
        <f>(SUM(N25:Q25))</f>
        <v>64558449.494755648</v>
      </c>
      <c r="R26" s="4"/>
      <c r="S26" s="4"/>
      <c r="T26" s="4"/>
      <c r="U26" s="4">
        <f>(SUM(R25:U25))</f>
        <v>64371213.099581145</v>
      </c>
      <c r="V26" s="4"/>
      <c r="W26" s="4"/>
      <c r="X26" s="4"/>
      <c r="Y26" s="4">
        <f>(SUM(V25:Y25))</f>
        <v>64184526.427578039</v>
      </c>
      <c r="Z26" s="4"/>
      <c r="AA26" s="4"/>
      <c r="AB26" s="4"/>
      <c r="AC26" s="4">
        <f>(SUM(Z25:AC25))</f>
        <v>63998387.845610835</v>
      </c>
      <c r="AD26" s="4"/>
      <c r="AE26" s="4"/>
      <c r="AF26" s="4"/>
      <c r="AG26" s="4">
        <f>(SUM(AD25:AG25))</f>
        <v>63812795.725450024</v>
      </c>
      <c r="AH26" s="4"/>
      <c r="AI26" s="4"/>
      <c r="AJ26" s="4"/>
      <c r="AK26" s="4">
        <f>(SUM(AH25:AK25))</f>
        <v>63627748.443757161</v>
      </c>
      <c r="AL26" s="4"/>
      <c r="AM26" s="4"/>
      <c r="AN26" s="4"/>
      <c r="AO26" s="4">
        <f>(SUM(AL25:AO25))</f>
        <v>63443244.382070065</v>
      </c>
      <c r="AP26" s="4"/>
      <c r="AQ26" s="4"/>
      <c r="AR26" s="4"/>
      <c r="AS26" s="4">
        <f>(SUM(AP25:AS25))</f>
        <v>63259281.926787972</v>
      </c>
      <c r="AT26" s="4"/>
      <c r="AU26" s="4"/>
      <c r="AV26" s="4"/>
      <c r="AW26" s="4">
        <f>(SUM(AT25:AW25))</f>
        <v>63075859.469156817</v>
      </c>
      <c r="AX26" s="4"/>
      <c r="AY26" s="4"/>
      <c r="AZ26" s="4"/>
      <c r="BA26" s="4">
        <f>(SUM(AX25:BA25))</f>
        <v>62892975.40525452</v>
      </c>
      <c r="BB26" s="4"/>
      <c r="BC26" s="4"/>
      <c r="BD26" s="4"/>
      <c r="BE26" s="4">
        <f>(SUM(BB25:BE25))</f>
        <v>62710628.1359763</v>
      </c>
      <c r="BF26" s="4"/>
      <c r="BG26" s="4"/>
      <c r="BH26" s="4"/>
      <c r="BI26" s="4">
        <f>(SUM(BF25:BI25))</f>
        <v>62528816.067020088</v>
      </c>
      <c r="BJ26" s="4"/>
      <c r="BK26" s="4"/>
      <c r="BL26" s="4">
        <f>(SUM(BJ25:BL25))</f>
        <v>46777618.939891584</v>
      </c>
    </row>
    <row r="27" spans="1:64" ht="15">
      <c r="A27" s="3" t="s">
        <v>56</v>
      </c>
      <c r="B27" s="9">
        <v>300</v>
      </c>
      <c r="C27" s="9">
        <v>300</v>
      </c>
      <c r="D27" s="9">
        <v>300</v>
      </c>
      <c r="E27" s="9">
        <v>300</v>
      </c>
      <c r="F27" s="9">
        <v>300</v>
      </c>
      <c r="G27" s="9">
        <v>300</v>
      </c>
      <c r="H27" s="9">
        <v>300</v>
      </c>
      <c r="I27" s="9">
        <v>300</v>
      </c>
      <c r="J27" s="9">
        <v>300</v>
      </c>
      <c r="K27" s="9">
        <v>300</v>
      </c>
      <c r="L27" s="9">
        <v>300</v>
      </c>
      <c r="M27" s="9">
        <v>300</v>
      </c>
      <c r="N27" s="9">
        <v>300</v>
      </c>
      <c r="O27" s="9">
        <v>300</v>
      </c>
      <c r="P27" s="9">
        <v>300</v>
      </c>
      <c r="Q27" s="9">
        <v>300</v>
      </c>
      <c r="R27" s="9">
        <v>300</v>
      </c>
      <c r="S27" s="9">
        <v>300</v>
      </c>
      <c r="T27" s="9">
        <v>300</v>
      </c>
      <c r="U27" s="9">
        <v>300</v>
      </c>
      <c r="V27" s="9">
        <v>300</v>
      </c>
      <c r="W27" s="9">
        <v>300</v>
      </c>
      <c r="X27" s="9">
        <v>300</v>
      </c>
      <c r="Y27" s="9">
        <v>300</v>
      </c>
      <c r="Z27" s="9">
        <v>300</v>
      </c>
      <c r="AA27" s="9">
        <v>300</v>
      </c>
      <c r="AB27" s="9">
        <v>300</v>
      </c>
      <c r="AC27" s="9">
        <v>300</v>
      </c>
      <c r="AD27" s="9">
        <v>300</v>
      </c>
      <c r="AE27" s="9">
        <v>300</v>
      </c>
      <c r="AF27" s="9">
        <v>300</v>
      </c>
      <c r="AG27" s="9">
        <v>300</v>
      </c>
      <c r="AH27" s="9">
        <v>300</v>
      </c>
      <c r="AI27" s="9">
        <v>300</v>
      </c>
      <c r="AJ27" s="9">
        <v>300</v>
      </c>
      <c r="AK27" s="9">
        <v>300</v>
      </c>
      <c r="AL27" s="9">
        <v>300</v>
      </c>
      <c r="AM27" s="9">
        <v>300</v>
      </c>
      <c r="AN27" s="9">
        <v>300</v>
      </c>
      <c r="AO27" s="9">
        <v>300</v>
      </c>
      <c r="AP27" s="9">
        <v>300</v>
      </c>
      <c r="AQ27" s="9">
        <v>300</v>
      </c>
      <c r="AR27" s="9">
        <v>300</v>
      </c>
      <c r="AS27" s="9">
        <v>300</v>
      </c>
      <c r="AT27" s="9">
        <v>300</v>
      </c>
      <c r="AU27" s="9">
        <v>300</v>
      </c>
      <c r="AV27" s="9">
        <v>300</v>
      </c>
      <c r="AW27" s="9">
        <v>300</v>
      </c>
      <c r="AX27" s="9">
        <v>300</v>
      </c>
      <c r="AY27" s="9">
        <v>300</v>
      </c>
      <c r="AZ27" s="9">
        <v>300</v>
      </c>
      <c r="BA27" s="9">
        <v>300</v>
      </c>
      <c r="BB27" s="9">
        <v>300</v>
      </c>
      <c r="BC27" s="9">
        <v>300</v>
      </c>
      <c r="BD27" s="9">
        <v>300</v>
      </c>
      <c r="BE27" s="9">
        <v>300</v>
      </c>
      <c r="BF27" s="9">
        <v>300</v>
      </c>
      <c r="BG27" s="9">
        <v>300</v>
      </c>
      <c r="BH27" s="9">
        <v>300</v>
      </c>
      <c r="BI27" s="9">
        <v>300</v>
      </c>
      <c r="BJ27" s="9">
        <v>300</v>
      </c>
      <c r="BK27" s="9">
        <v>300</v>
      </c>
      <c r="BL27" s="9">
        <v>300</v>
      </c>
    </row>
    <row r="28" spans="1:64" ht="1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</sheetData>
  <mergeCells count="16">
    <mergeCell ref="BJ2:BL2"/>
    <mergeCell ref="AL2:AO2"/>
    <mergeCell ref="AP2:AS2"/>
    <mergeCell ref="AT2:AW2"/>
    <mergeCell ref="AX2:BA2"/>
    <mergeCell ref="BB2:BE2"/>
    <mergeCell ref="V2:Y2"/>
    <mergeCell ref="Z2:AC2"/>
    <mergeCell ref="AD2:AG2"/>
    <mergeCell ref="AH2:AK2"/>
    <mergeCell ref="BF2:BI2"/>
    <mergeCell ref="B2:E2"/>
    <mergeCell ref="F2:I2"/>
    <mergeCell ref="J2:M2"/>
    <mergeCell ref="N2:Q2"/>
    <mergeCell ref="R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8F7E-E098-3940-9130-C49CAEE50AE4}">
  <dimension ref="A1:P19"/>
  <sheetViews>
    <sheetView showGridLines="0" topLeftCell="A5" zoomScaleNormal="80" zoomScaleSheetLayoutView="100" workbookViewId="0">
      <selection activeCell="A17" sqref="A17:E17"/>
    </sheetView>
  </sheetViews>
  <sheetFormatPr baseColWidth="10" defaultColWidth="9.125" defaultRowHeight="14.25"/>
  <cols>
    <col min="1" max="1" width="14.75" customWidth="1"/>
    <col min="2" max="2" width="17.875" customWidth="1"/>
    <col min="3" max="3" width="10.75" customWidth="1"/>
    <col min="5" max="5" width="11.25" customWidth="1"/>
    <col min="6" max="6" width="15.875" customWidth="1"/>
    <col min="7" max="7" width="13.625" customWidth="1"/>
    <col min="9" max="9" width="11.375" bestFit="1" customWidth="1"/>
    <col min="11" max="11" width="18.375" bestFit="1" customWidth="1"/>
    <col min="12" max="12" width="10.625" bestFit="1" customWidth="1"/>
    <col min="14" max="14" width="10.125" bestFit="1" customWidth="1"/>
    <col min="15" max="15" width="16.5" customWidth="1"/>
    <col min="16" max="16" width="14.875" bestFit="1" customWidth="1"/>
  </cols>
  <sheetData>
    <row r="1" spans="1:16">
      <c r="A1" s="217" t="s">
        <v>58</v>
      </c>
      <c r="B1" s="217"/>
      <c r="C1" s="217"/>
      <c r="D1" s="217"/>
      <c r="E1" s="217"/>
      <c r="F1" s="217"/>
      <c r="G1" s="217"/>
      <c r="J1" s="217" t="s">
        <v>59</v>
      </c>
      <c r="K1" s="217"/>
      <c r="L1" s="217"/>
      <c r="M1" s="217"/>
      <c r="N1" s="217"/>
      <c r="O1" s="217"/>
      <c r="P1" s="217"/>
    </row>
    <row r="2" spans="1:16">
      <c r="A2" s="212"/>
      <c r="B2" s="212"/>
      <c r="C2" s="212"/>
      <c r="D2" s="212"/>
      <c r="E2" s="212"/>
      <c r="F2" s="212"/>
      <c r="G2" s="212"/>
      <c r="J2" s="212"/>
      <c r="K2" s="212"/>
      <c r="L2" s="212"/>
      <c r="M2" s="212"/>
      <c r="N2" s="212"/>
      <c r="O2" s="212"/>
      <c r="P2" s="212"/>
    </row>
    <row r="3" spans="1:16">
      <c r="A3" s="3" t="s">
        <v>60</v>
      </c>
      <c r="B3" s="31" t="s">
        <v>61</v>
      </c>
      <c r="C3" s="3" t="s">
        <v>62</v>
      </c>
      <c r="D3" s="3" t="s">
        <v>63</v>
      </c>
      <c r="E3" s="3" t="s">
        <v>64</v>
      </c>
      <c r="F3" s="31" t="s">
        <v>65</v>
      </c>
      <c r="G3" s="3" t="s">
        <v>66</v>
      </c>
      <c r="J3" s="3" t="s">
        <v>60</v>
      </c>
      <c r="K3" s="31" t="s">
        <v>61</v>
      </c>
      <c r="L3" s="3" t="s">
        <v>62</v>
      </c>
      <c r="M3" s="3" t="s">
        <v>63</v>
      </c>
      <c r="N3" s="3" t="s">
        <v>64</v>
      </c>
      <c r="O3" s="31" t="s">
        <v>65</v>
      </c>
      <c r="P3" s="3" t="s">
        <v>66</v>
      </c>
    </row>
    <row r="4" spans="1:16">
      <c r="A4" s="4" t="s">
        <v>67</v>
      </c>
      <c r="B4" s="49">
        <f>(F4-G4)</f>
        <v>424800</v>
      </c>
      <c r="C4" s="4">
        <v>8</v>
      </c>
      <c r="D4" s="4">
        <v>6</v>
      </c>
      <c r="E4" s="29">
        <v>2500</v>
      </c>
      <c r="F4" s="29">
        <f>(((C4*D4*E4)*4))</f>
        <v>480000</v>
      </c>
      <c r="G4" s="29">
        <f>(F4*11.5%)</f>
        <v>55200</v>
      </c>
      <c r="I4" s="44"/>
      <c r="J4" s="4" t="s">
        <v>67</v>
      </c>
      <c r="K4" s="49">
        <f>(O4-P4)</f>
        <v>424800</v>
      </c>
      <c r="L4" s="4">
        <v>8</v>
      </c>
      <c r="M4" s="4">
        <v>6</v>
      </c>
      <c r="N4" s="29">
        <v>2500</v>
      </c>
      <c r="O4" s="29">
        <f>+L4*M4*N4*4</f>
        <v>480000</v>
      </c>
      <c r="P4" s="29">
        <f>+O4*11.5%</f>
        <v>55200</v>
      </c>
    </row>
    <row r="5" spans="1:16">
      <c r="A5" s="4" t="s">
        <v>68</v>
      </c>
      <c r="B5" s="49">
        <f t="shared" ref="B5:B16" si="0">(F5-G5)</f>
        <v>424800</v>
      </c>
      <c r="C5" s="4">
        <v>8</v>
      </c>
      <c r="D5" s="4">
        <v>6</v>
      </c>
      <c r="E5" s="29">
        <v>2500</v>
      </c>
      <c r="F5" s="29">
        <f t="shared" ref="F5:F16" si="1">(((C5*D5*E5)*4))</f>
        <v>480000</v>
      </c>
      <c r="G5" s="29">
        <f t="shared" ref="G5:G16" si="2">(F5*11.5%)</f>
        <v>55200</v>
      </c>
      <c r="J5" s="4" t="s">
        <v>68</v>
      </c>
      <c r="K5" s="49">
        <f t="shared" ref="K5:K14" si="3">(O5-P5)</f>
        <v>424800</v>
      </c>
      <c r="L5" s="4">
        <v>8</v>
      </c>
      <c r="M5" s="4">
        <v>6</v>
      </c>
      <c r="N5" s="29">
        <v>2500</v>
      </c>
      <c r="O5" s="29">
        <f t="shared" ref="O5:O14" si="4">+L5*M5*N5*4</f>
        <v>480000</v>
      </c>
      <c r="P5" s="29">
        <f t="shared" ref="P5:P14" si="5">+O5*11.5%</f>
        <v>55200</v>
      </c>
    </row>
    <row r="6" spans="1:16">
      <c r="A6" s="4" t="s">
        <v>69</v>
      </c>
      <c r="B6" s="49">
        <f t="shared" si="0"/>
        <v>424800</v>
      </c>
      <c r="C6" s="4">
        <v>8</v>
      </c>
      <c r="D6" s="4">
        <v>6</v>
      </c>
      <c r="E6" s="29">
        <v>2500</v>
      </c>
      <c r="F6" s="29">
        <f t="shared" si="1"/>
        <v>480000</v>
      </c>
      <c r="G6" s="29">
        <f t="shared" si="2"/>
        <v>55200</v>
      </c>
      <c r="J6" s="4" t="s">
        <v>69</v>
      </c>
      <c r="K6" s="49">
        <f t="shared" si="3"/>
        <v>424800</v>
      </c>
      <c r="L6" s="4">
        <v>8</v>
      </c>
      <c r="M6" s="4">
        <v>6</v>
      </c>
      <c r="N6" s="29">
        <v>2500</v>
      </c>
      <c r="O6" s="29">
        <f t="shared" si="4"/>
        <v>480000</v>
      </c>
      <c r="P6" s="29">
        <f t="shared" si="5"/>
        <v>55200</v>
      </c>
    </row>
    <row r="7" spans="1:16">
      <c r="A7" s="4" t="s">
        <v>70</v>
      </c>
      <c r="B7" s="49">
        <f t="shared" si="0"/>
        <v>424800</v>
      </c>
      <c r="C7" s="4">
        <v>8</v>
      </c>
      <c r="D7" s="4">
        <v>6</v>
      </c>
      <c r="E7" s="29">
        <v>2500</v>
      </c>
      <c r="F7" s="29">
        <f t="shared" si="1"/>
        <v>480000</v>
      </c>
      <c r="G7" s="29">
        <f t="shared" si="2"/>
        <v>55200</v>
      </c>
      <c r="J7" s="4" t="s">
        <v>70</v>
      </c>
      <c r="K7" s="49">
        <f t="shared" si="3"/>
        <v>424800</v>
      </c>
      <c r="L7" s="4">
        <v>8</v>
      </c>
      <c r="M7" s="4">
        <v>6</v>
      </c>
      <c r="N7" s="29">
        <v>2500</v>
      </c>
      <c r="O7" s="29">
        <f t="shared" si="4"/>
        <v>480000</v>
      </c>
      <c r="P7" s="29">
        <f t="shared" si="5"/>
        <v>55200</v>
      </c>
    </row>
    <row r="8" spans="1:16">
      <c r="A8" s="4" t="s">
        <v>71</v>
      </c>
      <c r="B8" s="49">
        <f t="shared" si="0"/>
        <v>424800</v>
      </c>
      <c r="C8" s="4">
        <v>8</v>
      </c>
      <c r="D8" s="4">
        <v>6</v>
      </c>
      <c r="E8" s="29">
        <v>2500</v>
      </c>
      <c r="F8" s="29">
        <f t="shared" si="1"/>
        <v>480000</v>
      </c>
      <c r="G8" s="29">
        <f t="shared" si="2"/>
        <v>55200</v>
      </c>
      <c r="J8" s="4" t="s">
        <v>71</v>
      </c>
      <c r="K8" s="49">
        <f t="shared" si="3"/>
        <v>424800</v>
      </c>
      <c r="L8" s="4">
        <v>8</v>
      </c>
      <c r="M8" s="4">
        <v>6</v>
      </c>
      <c r="N8" s="29">
        <v>2500</v>
      </c>
      <c r="O8" s="29">
        <f t="shared" si="4"/>
        <v>480000</v>
      </c>
      <c r="P8" s="29">
        <f t="shared" si="5"/>
        <v>55200</v>
      </c>
    </row>
    <row r="9" spans="1:16">
      <c r="A9" s="4" t="s">
        <v>72</v>
      </c>
      <c r="B9" s="49">
        <f t="shared" si="0"/>
        <v>424800</v>
      </c>
      <c r="C9" s="4">
        <v>8</v>
      </c>
      <c r="D9" s="4">
        <v>6</v>
      </c>
      <c r="E9" s="29">
        <v>2500</v>
      </c>
      <c r="F9" s="29">
        <f t="shared" si="1"/>
        <v>480000</v>
      </c>
      <c r="G9" s="29">
        <f t="shared" si="2"/>
        <v>55200</v>
      </c>
      <c r="J9" s="4" t="s">
        <v>72</v>
      </c>
      <c r="K9" s="49">
        <f t="shared" si="3"/>
        <v>424800</v>
      </c>
      <c r="L9" s="4">
        <v>8</v>
      </c>
      <c r="M9" s="4">
        <v>6</v>
      </c>
      <c r="N9" s="29">
        <v>2500</v>
      </c>
      <c r="O9" s="29">
        <f t="shared" si="4"/>
        <v>480000</v>
      </c>
      <c r="P9" s="29">
        <f t="shared" si="5"/>
        <v>55200</v>
      </c>
    </row>
    <row r="10" spans="1:16">
      <c r="A10" s="4" t="s">
        <v>73</v>
      </c>
      <c r="B10" s="49">
        <f t="shared" si="0"/>
        <v>424800</v>
      </c>
      <c r="C10" s="4">
        <v>8</v>
      </c>
      <c r="D10" s="4">
        <v>6</v>
      </c>
      <c r="E10" s="29">
        <v>2500</v>
      </c>
      <c r="F10" s="29">
        <f t="shared" si="1"/>
        <v>480000</v>
      </c>
      <c r="G10" s="29">
        <f t="shared" si="2"/>
        <v>55200</v>
      </c>
      <c r="J10" s="4" t="s">
        <v>73</v>
      </c>
      <c r="K10" s="49">
        <f t="shared" si="3"/>
        <v>424800</v>
      </c>
      <c r="L10" s="4">
        <v>8</v>
      </c>
      <c r="M10" s="4">
        <v>6</v>
      </c>
      <c r="N10" s="29">
        <v>2500</v>
      </c>
      <c r="O10" s="29">
        <f t="shared" si="4"/>
        <v>480000</v>
      </c>
      <c r="P10" s="29">
        <f t="shared" si="5"/>
        <v>55200</v>
      </c>
    </row>
    <row r="11" spans="1:16">
      <c r="A11" s="4" t="s">
        <v>74</v>
      </c>
      <c r="B11" s="49">
        <f t="shared" si="0"/>
        <v>424800</v>
      </c>
      <c r="C11" s="4">
        <v>8</v>
      </c>
      <c r="D11" s="4">
        <v>6</v>
      </c>
      <c r="E11" s="29">
        <v>2500</v>
      </c>
      <c r="F11" s="29">
        <f t="shared" si="1"/>
        <v>480000</v>
      </c>
      <c r="G11" s="29">
        <f t="shared" si="2"/>
        <v>55200</v>
      </c>
      <c r="J11" s="4" t="s">
        <v>74</v>
      </c>
      <c r="K11" s="49">
        <f t="shared" si="3"/>
        <v>424800</v>
      </c>
      <c r="L11" s="4">
        <v>8</v>
      </c>
      <c r="M11" s="4">
        <v>6</v>
      </c>
      <c r="N11" s="29">
        <v>2500</v>
      </c>
      <c r="O11" s="29">
        <f t="shared" si="4"/>
        <v>480000</v>
      </c>
      <c r="P11" s="29">
        <f t="shared" si="5"/>
        <v>55200</v>
      </c>
    </row>
    <row r="12" spans="1:16">
      <c r="A12" s="4" t="s">
        <v>75</v>
      </c>
      <c r="B12" s="49">
        <f t="shared" si="0"/>
        <v>424800</v>
      </c>
      <c r="C12" s="4">
        <v>8</v>
      </c>
      <c r="D12" s="4">
        <v>6</v>
      </c>
      <c r="E12" s="29">
        <v>2500</v>
      </c>
      <c r="F12" s="29">
        <f t="shared" si="1"/>
        <v>480000</v>
      </c>
      <c r="G12" s="29">
        <f t="shared" si="2"/>
        <v>55200</v>
      </c>
      <c r="J12" s="4" t="s">
        <v>75</v>
      </c>
      <c r="K12" s="49">
        <f t="shared" si="3"/>
        <v>424800</v>
      </c>
      <c r="L12" s="4">
        <v>8</v>
      </c>
      <c r="M12" s="4">
        <v>6</v>
      </c>
      <c r="N12" s="29">
        <v>2500</v>
      </c>
      <c r="O12" s="29">
        <f t="shared" si="4"/>
        <v>480000</v>
      </c>
      <c r="P12" s="29">
        <f t="shared" si="5"/>
        <v>55200</v>
      </c>
    </row>
    <row r="13" spans="1:16">
      <c r="A13" s="5" t="s">
        <v>76</v>
      </c>
      <c r="B13" s="49">
        <f t="shared" si="0"/>
        <v>424800</v>
      </c>
      <c r="C13" s="4">
        <v>8</v>
      </c>
      <c r="D13" s="4">
        <v>6</v>
      </c>
      <c r="E13" s="29">
        <v>2500</v>
      </c>
      <c r="F13" s="29">
        <f t="shared" si="1"/>
        <v>480000</v>
      </c>
      <c r="G13" s="29">
        <f t="shared" si="2"/>
        <v>55200</v>
      </c>
      <c r="J13" s="5" t="s">
        <v>76</v>
      </c>
      <c r="K13" s="49">
        <f t="shared" si="3"/>
        <v>424800</v>
      </c>
      <c r="L13" s="4">
        <v>8</v>
      </c>
      <c r="M13" s="4">
        <v>6</v>
      </c>
      <c r="N13" s="29">
        <v>2500</v>
      </c>
      <c r="O13" s="29">
        <f t="shared" si="4"/>
        <v>480000</v>
      </c>
      <c r="P13" s="29">
        <f t="shared" si="5"/>
        <v>55200</v>
      </c>
    </row>
    <row r="14" spans="1:16">
      <c r="A14" s="4" t="s">
        <v>77</v>
      </c>
      <c r="B14" s="49">
        <f t="shared" si="0"/>
        <v>424800</v>
      </c>
      <c r="C14" s="4">
        <v>8</v>
      </c>
      <c r="D14" s="4">
        <v>6</v>
      </c>
      <c r="E14" s="29">
        <v>2500</v>
      </c>
      <c r="F14" s="29">
        <f t="shared" si="1"/>
        <v>480000</v>
      </c>
      <c r="G14" s="29">
        <f t="shared" si="2"/>
        <v>55200</v>
      </c>
      <c r="J14" s="5" t="s">
        <v>77</v>
      </c>
      <c r="K14" s="49">
        <f t="shared" si="3"/>
        <v>424800</v>
      </c>
      <c r="L14" s="4">
        <v>8</v>
      </c>
      <c r="M14" s="4">
        <v>6</v>
      </c>
      <c r="N14" s="29">
        <v>2500</v>
      </c>
      <c r="O14" s="29">
        <f t="shared" si="4"/>
        <v>480000</v>
      </c>
      <c r="P14" s="29">
        <f t="shared" si="5"/>
        <v>55200</v>
      </c>
    </row>
    <row r="15" spans="1:16">
      <c r="A15" s="5" t="s">
        <v>78</v>
      </c>
      <c r="B15" s="49">
        <f t="shared" si="0"/>
        <v>424800</v>
      </c>
      <c r="C15" s="4">
        <v>8</v>
      </c>
      <c r="D15" s="4">
        <v>6</v>
      </c>
      <c r="E15" s="29">
        <v>2500</v>
      </c>
      <c r="F15" s="29">
        <f t="shared" si="1"/>
        <v>480000</v>
      </c>
      <c r="G15" s="29">
        <f t="shared" si="2"/>
        <v>55200</v>
      </c>
      <c r="J15" s="4" t="s">
        <v>78</v>
      </c>
      <c r="K15" s="49">
        <f t="shared" ref="K15:K17" si="6">(O15-P15)</f>
        <v>424800</v>
      </c>
      <c r="L15" s="4">
        <v>8</v>
      </c>
      <c r="M15" s="4">
        <v>6</v>
      </c>
      <c r="N15" s="29">
        <v>2500</v>
      </c>
      <c r="O15" s="29">
        <f t="shared" ref="O15:O17" si="7">+L15*M15*N15*4</f>
        <v>480000</v>
      </c>
      <c r="P15" s="29">
        <f t="shared" ref="P15:P17" si="8">+O15*11.5%</f>
        <v>55200</v>
      </c>
    </row>
    <row r="16" spans="1:16">
      <c r="A16" s="4" t="s">
        <v>79</v>
      </c>
      <c r="B16" s="49">
        <f t="shared" si="0"/>
        <v>0</v>
      </c>
      <c r="C16" s="4">
        <v>0</v>
      </c>
      <c r="D16" s="4">
        <v>6</v>
      </c>
      <c r="E16" s="29">
        <v>2500</v>
      </c>
      <c r="F16" s="29">
        <f t="shared" si="1"/>
        <v>0</v>
      </c>
      <c r="G16" s="29">
        <f t="shared" si="2"/>
        <v>0</v>
      </c>
      <c r="J16" s="5" t="s">
        <v>79</v>
      </c>
      <c r="K16" s="49">
        <f t="shared" si="6"/>
        <v>424800</v>
      </c>
      <c r="L16" s="4">
        <v>8</v>
      </c>
      <c r="M16" s="4">
        <v>6</v>
      </c>
      <c r="N16" s="29">
        <v>2500</v>
      </c>
      <c r="O16" s="29">
        <f t="shared" si="7"/>
        <v>480000</v>
      </c>
      <c r="P16" s="29">
        <f t="shared" si="8"/>
        <v>55200</v>
      </c>
    </row>
    <row r="17" spans="1:16">
      <c r="A17" s="214" t="s">
        <v>65</v>
      </c>
      <c r="B17" s="215"/>
      <c r="C17" s="215"/>
      <c r="D17" s="215"/>
      <c r="E17" s="216"/>
      <c r="F17" s="50">
        <f>(SUM(F4:F16))</f>
        <v>5760000</v>
      </c>
      <c r="G17" s="29">
        <f>+SUM(G4:G16)</f>
        <v>662400</v>
      </c>
      <c r="J17" s="5" t="s">
        <v>80</v>
      </c>
      <c r="K17" s="49">
        <f t="shared" si="6"/>
        <v>0</v>
      </c>
      <c r="L17" s="4">
        <v>0</v>
      </c>
      <c r="M17" s="4">
        <v>6</v>
      </c>
      <c r="N17" s="29">
        <v>2500</v>
      </c>
      <c r="O17" s="29">
        <f t="shared" si="7"/>
        <v>0</v>
      </c>
      <c r="P17" s="29">
        <f t="shared" si="8"/>
        <v>0</v>
      </c>
    </row>
    <row r="18" spans="1:16">
      <c r="A18" s="218" t="s">
        <v>81</v>
      </c>
      <c r="B18" s="218"/>
      <c r="C18" s="218"/>
      <c r="D18" s="218"/>
      <c r="E18" s="218"/>
      <c r="F18" s="30">
        <f>(F17*12)</f>
        <v>69120000</v>
      </c>
      <c r="G18" s="29">
        <f>(G17*12)</f>
        <v>7948800</v>
      </c>
      <c r="J18" s="214" t="s">
        <v>65</v>
      </c>
      <c r="K18" s="215"/>
      <c r="L18" s="215"/>
      <c r="M18" s="215"/>
      <c r="N18" s="216"/>
      <c r="O18" s="50">
        <f>+SUM(O4:O17)</f>
        <v>6240000</v>
      </c>
      <c r="P18" s="30">
        <f>SUM(P4:P17)</f>
        <v>717600</v>
      </c>
    </row>
    <row r="19" spans="1:16">
      <c r="J19" s="131" t="s">
        <v>81</v>
      </c>
      <c r="K19" s="131"/>
      <c r="L19" s="131"/>
      <c r="M19" s="131"/>
      <c r="N19" s="131"/>
      <c r="O19" s="30">
        <v>0</v>
      </c>
      <c r="P19" s="30">
        <f>+P18*12</f>
        <v>8611200</v>
      </c>
    </row>
  </sheetData>
  <mergeCells count="5">
    <mergeCell ref="A17:E17"/>
    <mergeCell ref="A1:G2"/>
    <mergeCell ref="A18:E18"/>
    <mergeCell ref="J1:P2"/>
    <mergeCell ref="J18:N18"/>
  </mergeCells>
  <phoneticPr fontId="4" alignment="center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BED-9CC6-6F4A-8BE4-0A3C80663673}">
  <dimension ref="A1:D18"/>
  <sheetViews>
    <sheetView showGridLines="0" topLeftCell="A2" zoomScaleNormal="80" zoomScaleSheetLayoutView="100" workbookViewId="0">
      <selection activeCell="B17" sqref="B17"/>
    </sheetView>
  </sheetViews>
  <sheetFormatPr baseColWidth="10" defaultColWidth="9.125" defaultRowHeight="14.25"/>
  <cols>
    <col min="1" max="1" width="17.25" customWidth="1"/>
    <col min="3" max="3" width="12.625" bestFit="1" customWidth="1"/>
    <col min="4" max="4" width="16.875" customWidth="1"/>
    <col min="5" max="5" width="13" customWidth="1"/>
  </cols>
  <sheetData>
    <row r="1" spans="1:4">
      <c r="A1" s="219" t="s">
        <v>19</v>
      </c>
      <c r="B1" s="219"/>
      <c r="C1" s="219"/>
      <c r="D1" s="219"/>
    </row>
    <row r="2" spans="1:4">
      <c r="A2" s="3" t="s">
        <v>82</v>
      </c>
      <c r="B2" s="3" t="s">
        <v>83</v>
      </c>
      <c r="C2" s="3" t="s">
        <v>84</v>
      </c>
      <c r="D2" s="3" t="s">
        <v>21</v>
      </c>
    </row>
    <row r="3" spans="1:4">
      <c r="A3" s="4" t="s">
        <v>85</v>
      </c>
      <c r="B3" s="41">
        <f>((Flujograma!BV11)/12)</f>
        <v>4366.1626645379074</v>
      </c>
      <c r="C3" s="29">
        <v>500</v>
      </c>
      <c r="D3" s="29">
        <f>(B3*C3)</f>
        <v>2183081.3322689538</v>
      </c>
    </row>
    <row r="4" spans="1:4">
      <c r="A4" s="4" t="s">
        <v>86</v>
      </c>
      <c r="B4" s="4">
        <v>20</v>
      </c>
      <c r="C4" s="29">
        <v>130000</v>
      </c>
      <c r="D4" s="29">
        <f t="shared" ref="D4:D5" si="0">(B4*C4)</f>
        <v>2600000</v>
      </c>
    </row>
    <row r="5" spans="1:4">
      <c r="A5" s="4" t="s">
        <v>87</v>
      </c>
      <c r="B5" s="4">
        <v>10</v>
      </c>
      <c r="C5" s="29">
        <v>10000</v>
      </c>
      <c r="D5" s="29">
        <f t="shared" si="0"/>
        <v>100000</v>
      </c>
    </row>
    <row r="6" spans="1:4">
      <c r="A6" s="66" t="s">
        <v>26</v>
      </c>
      <c r="B6" s="67"/>
      <c r="C6" s="68"/>
      <c r="D6" s="52">
        <f>(SUM(D3:D5))</f>
        <v>4883081.3322689533</v>
      </c>
    </row>
    <row r="7" spans="1:4">
      <c r="A7" s="31" t="s">
        <v>81</v>
      </c>
      <c r="B7" s="62"/>
      <c r="C7" s="65"/>
      <c r="D7" s="30">
        <f>(D6*12)</f>
        <v>58596975.98722744</v>
      </c>
    </row>
    <row r="12" spans="1:4">
      <c r="A12" s="219" t="s">
        <v>88</v>
      </c>
      <c r="B12" s="219"/>
      <c r="C12" s="219"/>
      <c r="D12" s="219"/>
    </row>
    <row r="13" spans="1:4">
      <c r="A13" s="3" t="s">
        <v>82</v>
      </c>
      <c r="B13" s="3" t="s">
        <v>83</v>
      </c>
      <c r="C13" s="3" t="s">
        <v>84</v>
      </c>
      <c r="D13" s="3" t="s">
        <v>21</v>
      </c>
    </row>
    <row r="14" spans="1:4">
      <c r="A14" s="4" t="s">
        <v>85</v>
      </c>
      <c r="B14" s="41">
        <f>Flujograma!E60/12</f>
        <v>4644.5398279121482</v>
      </c>
      <c r="C14" s="29">
        <v>500</v>
      </c>
      <c r="D14" s="29">
        <f>(B14*C14)</f>
        <v>2322269.913956074</v>
      </c>
    </row>
    <row r="15" spans="1:4">
      <c r="A15" s="4" t="s">
        <v>86</v>
      </c>
      <c r="B15" s="4">
        <v>21</v>
      </c>
      <c r="C15" s="29">
        <v>130000</v>
      </c>
      <c r="D15" s="29">
        <f>(B15*C15)</f>
        <v>2730000</v>
      </c>
    </row>
    <row r="16" spans="1:4">
      <c r="A16" s="4" t="s">
        <v>87</v>
      </c>
      <c r="B16" s="4">
        <v>14</v>
      </c>
      <c r="C16" s="29">
        <v>10000</v>
      </c>
      <c r="D16" s="29">
        <f>(B16*C16)</f>
        <v>140000</v>
      </c>
    </row>
    <row r="17" spans="1:4">
      <c r="A17" s="66" t="s">
        <v>26</v>
      </c>
      <c r="B17" s="67"/>
      <c r="C17" s="68"/>
      <c r="D17" s="52">
        <f>(SUM(D14:D16))</f>
        <v>5192269.913956074</v>
      </c>
    </row>
    <row r="18" spans="1:4">
      <c r="A18" s="31" t="s">
        <v>81</v>
      </c>
      <c r="B18" s="62"/>
      <c r="C18" s="65"/>
      <c r="D18" s="30">
        <f>(D17*12)</f>
        <v>62307238.967472889</v>
      </c>
    </row>
  </sheetData>
  <mergeCells count="2">
    <mergeCell ref="A1:D1"/>
    <mergeCell ref="A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605B-FCA7-DB4C-A7EB-76A2A2C50396}">
  <dimension ref="A1:BV60"/>
  <sheetViews>
    <sheetView showGridLines="0" topLeftCell="F7" zoomScale="90" zoomScaleNormal="90" zoomScaleSheetLayoutView="100" workbookViewId="0">
      <selection activeCell="C50" sqref="C50"/>
    </sheetView>
  </sheetViews>
  <sheetFormatPr baseColWidth="10" defaultColWidth="9.125" defaultRowHeight="14.25"/>
  <cols>
    <col min="1" max="1" width="26.625" bestFit="1" customWidth="1"/>
    <col min="2" max="2" width="16" customWidth="1"/>
    <col min="3" max="3" width="27.875" customWidth="1"/>
    <col min="4" max="4" width="19.125" bestFit="1" customWidth="1"/>
    <col min="5" max="5" width="16.25" bestFit="1" customWidth="1"/>
    <col min="6" max="7" width="14.625" bestFit="1" customWidth="1"/>
    <col min="8" max="8" width="16.25" bestFit="1" customWidth="1"/>
    <col min="9" max="9" width="14.625" bestFit="1" customWidth="1"/>
    <col min="10" max="10" width="16.25" bestFit="1" customWidth="1"/>
    <col min="11" max="11" width="14.625" bestFit="1" customWidth="1"/>
    <col min="12" max="12" width="16.25" bestFit="1" customWidth="1"/>
    <col min="13" max="15" width="14.625" bestFit="1" customWidth="1"/>
    <col min="16" max="16" width="16.25" bestFit="1" customWidth="1"/>
    <col min="17" max="19" width="14.625" bestFit="1" customWidth="1"/>
    <col min="20" max="20" width="16.25" bestFit="1" customWidth="1"/>
    <col min="21" max="23" width="14.625" bestFit="1" customWidth="1"/>
    <col min="24" max="24" width="16.25" bestFit="1" customWidth="1"/>
    <col min="25" max="27" width="14.625" bestFit="1" customWidth="1"/>
    <col min="28" max="28" width="16.25" bestFit="1" customWidth="1"/>
    <col min="29" max="31" width="14.625" bestFit="1" customWidth="1"/>
    <col min="32" max="32" width="16.25" bestFit="1" customWidth="1"/>
    <col min="33" max="35" width="14.625" bestFit="1" customWidth="1"/>
    <col min="36" max="36" width="16.25" bestFit="1" customWidth="1"/>
    <col min="37" max="39" width="14.625" bestFit="1" customWidth="1"/>
    <col min="40" max="40" width="16.25" bestFit="1" customWidth="1"/>
    <col min="41" max="43" width="14.625" bestFit="1" customWidth="1"/>
    <col min="44" max="44" width="16.25" bestFit="1" customWidth="1"/>
    <col min="45" max="47" width="14.625" bestFit="1" customWidth="1"/>
    <col min="48" max="48" width="16.25" bestFit="1" customWidth="1"/>
    <col min="49" max="51" width="14.625" bestFit="1" customWidth="1"/>
    <col min="52" max="52" width="16.25" bestFit="1" customWidth="1"/>
    <col min="53" max="67" width="14.625" bestFit="1" customWidth="1"/>
    <col min="68" max="68" width="17.25" bestFit="1" customWidth="1"/>
    <col min="69" max="69" width="18.75" bestFit="1" customWidth="1"/>
    <col min="71" max="71" width="12" bestFit="1" customWidth="1"/>
    <col min="74" max="74" width="11.875" bestFit="1" customWidth="1"/>
  </cols>
  <sheetData>
    <row r="1" spans="1:74" ht="30" customHeight="1">
      <c r="A1" s="1" t="s">
        <v>89</v>
      </c>
      <c r="B1" t="s">
        <v>27</v>
      </c>
      <c r="E1" s="220">
        <v>1</v>
      </c>
      <c r="F1" s="220"/>
      <c r="G1" s="220"/>
      <c r="H1" s="220"/>
      <c r="I1" s="221">
        <v>2</v>
      </c>
      <c r="J1" s="221"/>
      <c r="K1" s="221"/>
      <c r="L1" s="221"/>
      <c r="M1" s="220">
        <v>3</v>
      </c>
      <c r="N1" s="220"/>
      <c r="O1" s="220"/>
      <c r="P1" s="220"/>
      <c r="Q1" s="221">
        <v>4</v>
      </c>
      <c r="R1" s="221"/>
      <c r="S1" s="221"/>
      <c r="T1" s="221"/>
      <c r="V1">
        <v>5</v>
      </c>
      <c r="AB1">
        <v>6</v>
      </c>
      <c r="AF1">
        <v>7</v>
      </c>
      <c r="AJ1">
        <v>8</v>
      </c>
      <c r="AN1">
        <v>9</v>
      </c>
      <c r="AR1">
        <v>10</v>
      </c>
      <c r="AV1">
        <v>11</v>
      </c>
      <c r="AZ1">
        <v>12</v>
      </c>
    </row>
    <row r="2" spans="1:74" ht="15">
      <c r="A2" s="1" t="s">
        <v>90</v>
      </c>
      <c r="B2" s="1">
        <v>36026</v>
      </c>
      <c r="C2" s="1"/>
    </row>
    <row r="3" spans="1:74" ht="15">
      <c r="A3" s="1" t="s">
        <v>91</v>
      </c>
      <c r="B3" s="19">
        <v>0.2462</v>
      </c>
      <c r="C3" s="20">
        <f>+B3/55</f>
        <v>4.4763636363636368E-3</v>
      </c>
      <c r="D3" s="18" t="s">
        <v>48</v>
      </c>
      <c r="E3" s="24">
        <v>18</v>
      </c>
      <c r="F3" s="24">
        <v>19</v>
      </c>
      <c r="G3" s="24">
        <v>20</v>
      </c>
      <c r="H3" s="24">
        <v>21</v>
      </c>
      <c r="I3" s="24">
        <v>22</v>
      </c>
      <c r="J3" s="24">
        <v>23</v>
      </c>
      <c r="K3" s="24">
        <v>24</v>
      </c>
      <c r="L3" s="24">
        <v>25</v>
      </c>
      <c r="M3" s="24">
        <v>26</v>
      </c>
      <c r="N3" s="24">
        <v>27</v>
      </c>
      <c r="O3" s="24">
        <v>28</v>
      </c>
      <c r="P3" s="24">
        <v>29</v>
      </c>
      <c r="Q3" s="24">
        <v>30</v>
      </c>
      <c r="R3" s="24">
        <v>31</v>
      </c>
      <c r="S3" s="24">
        <v>32</v>
      </c>
      <c r="T3" s="24">
        <v>33</v>
      </c>
      <c r="U3" s="24">
        <v>34</v>
      </c>
      <c r="V3" s="24">
        <v>35</v>
      </c>
      <c r="W3" s="24">
        <v>36</v>
      </c>
      <c r="X3" s="24">
        <v>37</v>
      </c>
      <c r="Y3" s="24">
        <v>38</v>
      </c>
      <c r="Z3" s="24">
        <v>39</v>
      </c>
      <c r="AA3" s="24">
        <v>40</v>
      </c>
      <c r="AB3" s="24">
        <v>41</v>
      </c>
      <c r="AC3" s="24">
        <v>42</v>
      </c>
      <c r="AD3" s="24">
        <v>43</v>
      </c>
      <c r="AE3" s="24">
        <v>44</v>
      </c>
      <c r="AF3" s="24">
        <v>45</v>
      </c>
      <c r="AG3" s="24">
        <v>46</v>
      </c>
      <c r="AH3" s="24">
        <v>47</v>
      </c>
      <c r="AI3" s="24">
        <v>48</v>
      </c>
      <c r="AJ3" s="24">
        <v>49</v>
      </c>
      <c r="AK3" s="24">
        <v>50</v>
      </c>
      <c r="AL3" s="24">
        <v>51</v>
      </c>
      <c r="AM3" s="24">
        <v>52</v>
      </c>
      <c r="AN3" s="24">
        <v>53</v>
      </c>
      <c r="AO3" s="24">
        <v>54</v>
      </c>
      <c r="AP3" s="24">
        <v>55</v>
      </c>
      <c r="AQ3" s="24">
        <v>56</v>
      </c>
      <c r="AR3" s="24">
        <v>57</v>
      </c>
      <c r="AS3" s="24">
        <v>58</v>
      </c>
      <c r="AT3" s="24">
        <v>59</v>
      </c>
      <c r="AU3" s="24">
        <v>60</v>
      </c>
      <c r="AV3" s="24">
        <v>61</v>
      </c>
      <c r="AW3" s="24">
        <v>62</v>
      </c>
      <c r="AX3" s="24">
        <v>63</v>
      </c>
      <c r="AY3" s="24">
        <v>64</v>
      </c>
      <c r="AZ3" s="24">
        <v>65</v>
      </c>
      <c r="BA3" s="24">
        <v>66</v>
      </c>
      <c r="BB3" s="24">
        <v>67</v>
      </c>
      <c r="BC3" s="24">
        <v>68</v>
      </c>
      <c r="BD3" s="24">
        <v>69</v>
      </c>
      <c r="BE3" s="24">
        <v>70</v>
      </c>
      <c r="BF3" s="24">
        <v>71</v>
      </c>
      <c r="BG3" s="24">
        <v>72</v>
      </c>
      <c r="BH3" s="24">
        <v>73</v>
      </c>
      <c r="BI3" s="24">
        <v>74</v>
      </c>
      <c r="BJ3" s="24">
        <v>75</v>
      </c>
      <c r="BK3" s="24">
        <v>76</v>
      </c>
      <c r="BL3" s="24">
        <v>77</v>
      </c>
      <c r="BM3" s="24">
        <v>78</v>
      </c>
      <c r="BN3" s="24">
        <v>79</v>
      </c>
      <c r="BO3" s="24">
        <v>80</v>
      </c>
      <c r="BP3" s="24" t="s">
        <v>92</v>
      </c>
    </row>
    <row r="4" spans="1:74" ht="15">
      <c r="A4" s="1" t="s">
        <v>93</v>
      </c>
      <c r="B4" s="1">
        <v>61.79</v>
      </c>
      <c r="D4" s="18" t="s">
        <v>90</v>
      </c>
      <c r="E4" s="25">
        <f>+B2</f>
        <v>36026</v>
      </c>
      <c r="F4" s="26">
        <f>+E6</f>
        <v>35864.734523636362</v>
      </c>
      <c r="G4" s="26">
        <f>+F6</f>
        <v>35704.190930186924</v>
      </c>
      <c r="H4" s="26">
        <f>+G6</f>
        <v>35544.365988241254</v>
      </c>
      <c r="I4" s="26">
        <f t="shared" ref="I4:BO4" si="0">+H6</f>
        <v>35385.256480853888</v>
      </c>
      <c r="J4" s="26">
        <f t="shared" si="0"/>
        <v>35226.859205479595</v>
      </c>
      <c r="K4" s="26">
        <f t="shared" si="0"/>
        <v>35069.170973908884</v>
      </c>
      <c r="L4" s="26">
        <f t="shared" si="0"/>
        <v>34912.188612203856</v>
      </c>
      <c r="M4" s="26">
        <f t="shared" si="0"/>
        <v>34755.908960634319</v>
      </c>
      <c r="N4" s="26">
        <f t="shared" si="0"/>
        <v>34600.328873614169</v>
      </c>
      <c r="O4" s="26">
        <f t="shared" si="0"/>
        <v>34445.445219638103</v>
      </c>
      <c r="P4" s="26">
        <f t="shared" si="0"/>
        <v>34291.254881218556</v>
      </c>
      <c r="Q4" s="26">
        <f t="shared" si="0"/>
        <v>34137.754754822992</v>
      </c>
      <c r="R4" s="26">
        <f t="shared" si="0"/>
        <v>33984.941750811406</v>
      </c>
      <c r="S4" s="26">
        <f t="shared" si="0"/>
        <v>33832.812793374134</v>
      </c>
      <c r="T4" s="26">
        <f t="shared" si="0"/>
        <v>33681.364820469978</v>
      </c>
      <c r="U4" s="26">
        <f t="shared" si="0"/>
        <v>33530.594783764529</v>
      </c>
      <c r="V4" s="26">
        <f t="shared" si="0"/>
        <v>33380.499648568839</v>
      </c>
      <c r="W4" s="26">
        <f t="shared" si="0"/>
        <v>33231.076393778334</v>
      </c>
      <c r="X4" s="26">
        <f t="shared" si="0"/>
        <v>33082.322011812001</v>
      </c>
      <c r="Y4" s="26">
        <f t="shared" si="0"/>
        <v>32934.23350855185</v>
      </c>
      <c r="Z4" s="26">
        <f t="shared" si="0"/>
        <v>32786.807903282657</v>
      </c>
      <c r="AA4" s="26">
        <f t="shared" si="0"/>
        <v>32640.042228631963</v>
      </c>
      <c r="AB4" s="26">
        <f t="shared" si="0"/>
        <v>32493.933530510341</v>
      </c>
      <c r="AC4" s="26">
        <f t="shared" si="0"/>
        <v>32348.478868051949</v>
      </c>
      <c r="AD4" s="26">
        <f t="shared" si="0"/>
        <v>32203.675313555323</v>
      </c>
      <c r="AE4" s="26">
        <f>+AD6</f>
        <v>32059.519952424464</v>
      </c>
      <c r="AF4" s="26">
        <f t="shared" si="0"/>
        <v>31916.009883110157</v>
      </c>
      <c r="AG4" s="26">
        <f t="shared" si="0"/>
        <v>31773.14221705158</v>
      </c>
      <c r="AH4" s="26">
        <f t="shared" si="0"/>
        <v>31630.91407861816</v>
      </c>
      <c r="AI4" s="26">
        <f t="shared" si="0"/>
        <v>31489.32260505169</v>
      </c>
      <c r="AJ4" s="26">
        <f t="shared" si="0"/>
        <v>31348.364946408714</v>
      </c>
      <c r="AK4" s="26">
        <f t="shared" si="0"/>
        <v>31208.038265503154</v>
      </c>
      <c r="AL4" s="26">
        <f t="shared" si="0"/>
        <v>31068.339737849212</v>
      </c>
      <c r="AM4" s="26">
        <f t="shared" si="0"/>
        <v>30929.266551604513</v>
      </c>
      <c r="AN4" s="26">
        <f t="shared" si="0"/>
        <v>30790.815907513512</v>
      </c>
      <c r="AO4" s="26">
        <f t="shared" si="0"/>
        <v>30652.985018851152</v>
      </c>
      <c r="AP4" s="26">
        <f t="shared" si="0"/>
        <v>30515.771111366768</v>
      </c>
      <c r="AQ4" s="26">
        <f t="shared" si="0"/>
        <v>30379.17142322825</v>
      </c>
      <c r="AR4" s="26">
        <f t="shared" si="0"/>
        <v>30243.183204966455</v>
      </c>
      <c r="AS4" s="26">
        <f t="shared" si="0"/>
        <v>30107.803719419859</v>
      </c>
      <c r="AT4" s="26">
        <f t="shared" si="0"/>
        <v>29973.030241679473</v>
      </c>
      <c r="AU4" s="26">
        <f t="shared" si="0"/>
        <v>29838.860059033992</v>
      </c>
      <c r="AV4" s="26">
        <f t="shared" si="0"/>
        <v>29705.290470915188</v>
      </c>
      <c r="AW4" s="26">
        <f t="shared" si="0"/>
        <v>29572.318788843564</v>
      </c>
      <c r="AX4" s="26">
        <f t="shared" si="0"/>
        <v>29439.942336374232</v>
      </c>
      <c r="AY4" s="26">
        <f t="shared" si="0"/>
        <v>29308.158449043043</v>
      </c>
      <c r="AZ4" s="26">
        <f t="shared" si="0"/>
        <v>29176.964474312965</v>
      </c>
      <c r="BA4" s="26">
        <f t="shared" si="0"/>
        <v>29046.357771520677</v>
      </c>
      <c r="BB4" s="26">
        <f t="shared" si="0"/>
        <v>28916.335711823434</v>
      </c>
      <c r="BC4" s="26">
        <f t="shared" si="0"/>
        <v>28786.895678146146</v>
      </c>
      <c r="BD4" s="26">
        <f t="shared" si="0"/>
        <v>28658.035065128697</v>
      </c>
      <c r="BE4" s="26">
        <f t="shared" si="0"/>
        <v>28529.75127907352</v>
      </c>
      <c r="BF4" s="26">
        <f t="shared" si="0"/>
        <v>28402.041737893378</v>
      </c>
      <c r="BG4" s="26">
        <f t="shared" si="0"/>
        <v>28274.903871059389</v>
      </c>
      <c r="BH4" s="26">
        <f t="shared" si="0"/>
        <v>28148.335119549301</v>
      </c>
      <c r="BI4" s="26">
        <f t="shared" si="0"/>
        <v>28022.332935795974</v>
      </c>
      <c r="BJ4" s="26">
        <f t="shared" si="0"/>
        <v>27896.8947836361</v>
      </c>
      <c r="BK4" s="26">
        <f t="shared" si="0"/>
        <v>27772.018138259169</v>
      </c>
      <c r="BL4" s="26">
        <f t="shared" si="0"/>
        <v>27647.700486156635</v>
      </c>
      <c r="BM4" s="26">
        <f t="shared" si="0"/>
        <v>27523.939325071329</v>
      </c>
      <c r="BN4" s="26">
        <f t="shared" si="0"/>
        <v>27400.732163947101</v>
      </c>
      <c r="BO4" s="26">
        <f t="shared" si="0"/>
        <v>27278.076522878669</v>
      </c>
      <c r="BP4" s="26">
        <f>+BO6</f>
        <v>27155.969933061711</v>
      </c>
      <c r="BQ4" s="21"/>
    </row>
    <row r="5" spans="1:74" ht="15">
      <c r="A5" s="1" t="s">
        <v>94</v>
      </c>
      <c r="B5" s="22">
        <v>0.84099999999999997</v>
      </c>
      <c r="C5">
        <v>1</v>
      </c>
      <c r="D5" s="18" t="s">
        <v>91</v>
      </c>
      <c r="E5" s="26">
        <f>+(E4*$C$3)*$C$5</f>
        <v>161.26547636363637</v>
      </c>
      <c r="F5" s="26">
        <f t="shared" ref="F5:BO5" si="1">+(F4*$C$3)*$C$5</f>
        <v>160.54359344944132</v>
      </c>
      <c r="G5" s="26">
        <f t="shared" si="1"/>
        <v>159.82494194567312</v>
      </c>
      <c r="H5" s="26">
        <f t="shared" si="1"/>
        <v>159.10950738736361</v>
      </c>
      <c r="I5" s="26">
        <f t="shared" si="1"/>
        <v>158.39727537429505</v>
      </c>
      <c r="J5" s="26">
        <f t="shared" si="1"/>
        <v>157.68823157071049</v>
      </c>
      <c r="K5" s="26">
        <f t="shared" si="1"/>
        <v>156.98236170502489</v>
      </c>
      <c r="L5" s="26">
        <f t="shared" si="1"/>
        <v>156.279651569538</v>
      </c>
      <c r="M5" s="26">
        <f t="shared" si="1"/>
        <v>155.58008702014854</v>
      </c>
      <c r="N5" s="26">
        <f t="shared" si="1"/>
        <v>154.88365397606927</v>
      </c>
      <c r="O5" s="26">
        <f t="shared" si="1"/>
        <v>154.19033841954368</v>
      </c>
      <c r="P5" s="26">
        <f t="shared" si="1"/>
        <v>153.5001263955638</v>
      </c>
      <c r="Q5" s="26">
        <f t="shared" si="1"/>
        <v>152.81300401158947</v>
      </c>
      <c r="R5" s="26">
        <f t="shared" si="1"/>
        <v>152.12895743726853</v>
      </c>
      <c r="S5" s="26">
        <f t="shared" si="1"/>
        <v>151.44797290415841</v>
      </c>
      <c r="T5" s="26">
        <f t="shared" si="1"/>
        <v>150.77003670544926</v>
      </c>
      <c r="U5" s="26">
        <f t="shared" si="1"/>
        <v>150.09513519568779</v>
      </c>
      <c r="V5" s="26">
        <f t="shared" si="1"/>
        <v>149.42325479050271</v>
      </c>
      <c r="W5" s="26">
        <f t="shared" si="1"/>
        <v>148.75438196633141</v>
      </c>
      <c r="X5" s="26">
        <f t="shared" si="1"/>
        <v>148.08850326014755</v>
      </c>
      <c r="Y5" s="26">
        <f t="shared" si="1"/>
        <v>147.4256052691903</v>
      </c>
      <c r="Z5" s="26">
        <f t="shared" si="1"/>
        <v>146.76567465069439</v>
      </c>
      <c r="AA5" s="26">
        <f t="shared" si="1"/>
        <v>146.10869812162164</v>
      </c>
      <c r="AB5" s="26">
        <f t="shared" si="1"/>
        <v>145.45466245839359</v>
      </c>
      <c r="AC5" s="26">
        <f t="shared" si="1"/>
        <v>144.80355449662528</v>
      </c>
      <c r="AD5" s="26">
        <f t="shared" si="1"/>
        <v>144.1553611308604</v>
      </c>
      <c r="AE5" s="26">
        <f t="shared" si="1"/>
        <v>143.51006931430734</v>
      </c>
      <c r="AF5" s="26">
        <f t="shared" si="1"/>
        <v>142.86766605857676</v>
      </c>
      <c r="AG5" s="26">
        <f t="shared" si="1"/>
        <v>142.22813843341999</v>
      </c>
      <c r="AH5" s="26">
        <f t="shared" si="1"/>
        <v>141.59147356646895</v>
      </c>
      <c r="AI5" s="26">
        <f t="shared" si="1"/>
        <v>140.95765864297684</v>
      </c>
      <c r="AJ5" s="26">
        <f t="shared" si="1"/>
        <v>140.32668090556047</v>
      </c>
      <c r="AK5" s="26">
        <f t="shared" si="1"/>
        <v>139.69852765394322</v>
      </c>
      <c r="AL5" s="26">
        <f t="shared" si="1"/>
        <v>139.07318624469957</v>
      </c>
      <c r="AM5" s="26">
        <f t="shared" si="1"/>
        <v>138.45064409100058</v>
      </c>
      <c r="AN5" s="26">
        <f t="shared" si="1"/>
        <v>137.83088866236051</v>
      </c>
      <c r="AO5" s="26">
        <f t="shared" si="1"/>
        <v>137.21390748438463</v>
      </c>
      <c r="AP5" s="26">
        <f t="shared" si="1"/>
        <v>136.59968813851816</v>
      </c>
      <c r="AQ5" s="26">
        <f t="shared" si="1"/>
        <v>135.98821826179628</v>
      </c>
      <c r="AR5" s="26">
        <f t="shared" si="1"/>
        <v>135.3794855465953</v>
      </c>
      <c r="AS5" s="26">
        <f t="shared" si="1"/>
        <v>134.77347774038492</v>
      </c>
      <c r="AT5" s="26">
        <f t="shared" si="1"/>
        <v>134.17018264548159</v>
      </c>
      <c r="AU5" s="26">
        <f t="shared" si="1"/>
        <v>133.5695881188031</v>
      </c>
      <c r="AV5" s="26">
        <f t="shared" si="1"/>
        <v>132.971682071624</v>
      </c>
      <c r="AW5" s="26">
        <f t="shared" si="1"/>
        <v>132.37645246933246</v>
      </c>
      <c r="AX5" s="26">
        <f t="shared" si="1"/>
        <v>131.78388733118794</v>
      </c>
      <c r="AY5" s="26">
        <f t="shared" si="1"/>
        <v>131.19397473007996</v>
      </c>
      <c r="AZ5" s="26">
        <f t="shared" si="1"/>
        <v>130.60670279228822</v>
      </c>
      <c r="BA5" s="26">
        <f t="shared" si="1"/>
        <v>130.02205969724349</v>
      </c>
      <c r="BB5" s="26">
        <f t="shared" si="1"/>
        <v>129.44003367728965</v>
      </c>
      <c r="BC5" s="26">
        <f t="shared" si="1"/>
        <v>128.86061301744695</v>
      </c>
      <c r="BD5" s="26">
        <f t="shared" si="1"/>
        <v>128.28378605517611</v>
      </c>
      <c r="BE5" s="26">
        <f t="shared" si="1"/>
        <v>127.70954118014366</v>
      </c>
      <c r="BF5" s="26">
        <f t="shared" si="1"/>
        <v>127.13786683398818</v>
      </c>
      <c r="BG5" s="26">
        <f t="shared" si="1"/>
        <v>126.56875151008768</v>
      </c>
      <c r="BH5" s="26">
        <f t="shared" si="1"/>
        <v>126.00218375332798</v>
      </c>
      <c r="BI5" s="26">
        <f t="shared" si="1"/>
        <v>125.43815215987217</v>
      </c>
      <c r="BJ5" s="26">
        <f t="shared" si="1"/>
        <v>124.87664537693107</v>
      </c>
      <c r="BK5" s="26">
        <f t="shared" si="1"/>
        <v>124.31765210253469</v>
      </c>
      <c r="BL5" s="26">
        <f t="shared" si="1"/>
        <v>123.76116108530481</v>
      </c>
      <c r="BM5" s="26">
        <f t="shared" si="1"/>
        <v>123.20716112422839</v>
      </c>
      <c r="BN5" s="26">
        <f t="shared" si="1"/>
        <v>122.6556410684323</v>
      </c>
      <c r="BO5" s="26">
        <f t="shared" si="1"/>
        <v>122.10658981695872</v>
      </c>
      <c r="BP5" s="26">
        <f>+SUM(E5:BO5)</f>
        <v>8870.030066938285</v>
      </c>
    </row>
    <row r="6" spans="1:74" ht="15">
      <c r="A6" s="1" t="s">
        <v>95</v>
      </c>
      <c r="B6" s="1">
        <v>108.11</v>
      </c>
      <c r="D6" s="18" t="s">
        <v>96</v>
      </c>
      <c r="E6" s="26">
        <f>+E4-E5</f>
        <v>35864.734523636362</v>
      </c>
      <c r="F6" s="26">
        <f>+F4-F5</f>
        <v>35704.190930186924</v>
      </c>
      <c r="G6" s="26">
        <f>+G4-G5</f>
        <v>35544.365988241254</v>
      </c>
      <c r="H6" s="26">
        <f t="shared" ref="H6:L6" si="2">+H4-H5</f>
        <v>35385.256480853888</v>
      </c>
      <c r="I6" s="26">
        <f t="shared" si="2"/>
        <v>35226.859205479595</v>
      </c>
      <c r="J6" s="26">
        <f t="shared" si="2"/>
        <v>35069.170973908884</v>
      </c>
      <c r="K6" s="26">
        <f t="shared" si="2"/>
        <v>34912.188612203856</v>
      </c>
      <c r="L6" s="26">
        <f t="shared" si="2"/>
        <v>34755.908960634319</v>
      </c>
      <c r="M6" s="26">
        <f t="shared" ref="M6" si="3">+M4-M5</f>
        <v>34600.328873614169</v>
      </c>
      <c r="N6" s="26">
        <f t="shared" ref="N6" si="4">+N4-N5</f>
        <v>34445.445219638103</v>
      </c>
      <c r="O6" s="26">
        <f t="shared" ref="O6" si="5">+O4-O5</f>
        <v>34291.254881218556</v>
      </c>
      <c r="P6" s="26">
        <f t="shared" ref="P6" si="6">+P4-P5</f>
        <v>34137.754754822992</v>
      </c>
      <c r="Q6" s="26">
        <f t="shared" ref="Q6" si="7">+Q4-Q5</f>
        <v>33984.941750811406</v>
      </c>
      <c r="R6" s="26">
        <f t="shared" ref="R6" si="8">+R4-R5</f>
        <v>33832.812793374134</v>
      </c>
      <c r="S6" s="26">
        <f t="shared" ref="S6" si="9">+S4-S5</f>
        <v>33681.364820469978</v>
      </c>
      <c r="T6" s="26">
        <f t="shared" ref="T6" si="10">+T4-T5</f>
        <v>33530.594783764529</v>
      </c>
      <c r="U6" s="26">
        <f t="shared" ref="U6" si="11">+U4-U5</f>
        <v>33380.499648568839</v>
      </c>
      <c r="V6" s="26">
        <f t="shared" ref="V6" si="12">+V4-V5</f>
        <v>33231.076393778334</v>
      </c>
      <c r="W6" s="26">
        <f t="shared" ref="W6" si="13">+W4-W5</f>
        <v>33082.322011812001</v>
      </c>
      <c r="X6" s="26">
        <f t="shared" ref="X6" si="14">+X4-X5</f>
        <v>32934.23350855185</v>
      </c>
      <c r="Y6" s="26">
        <f t="shared" ref="Y6" si="15">+Y4-Y5</f>
        <v>32786.807903282657</v>
      </c>
      <c r="Z6" s="26">
        <f t="shared" ref="Z6" si="16">+Z4-Z5</f>
        <v>32640.042228631963</v>
      </c>
      <c r="AA6" s="26">
        <f t="shared" ref="AA6" si="17">+AA4-AA5</f>
        <v>32493.933530510341</v>
      </c>
      <c r="AB6" s="26">
        <f t="shared" ref="AB6" si="18">+AB4-AB5</f>
        <v>32348.478868051949</v>
      </c>
      <c r="AC6" s="26">
        <f t="shared" ref="AC6" si="19">+AC4-AC5</f>
        <v>32203.675313555323</v>
      </c>
      <c r="AD6" s="26">
        <f t="shared" ref="AD6" si="20">+AD4-AD5</f>
        <v>32059.519952424464</v>
      </c>
      <c r="AE6" s="26">
        <f t="shared" ref="AE6" si="21">+AE4-AE5</f>
        <v>31916.009883110157</v>
      </c>
      <c r="AF6" s="26">
        <f t="shared" ref="AF6" si="22">+AF4-AF5</f>
        <v>31773.14221705158</v>
      </c>
      <c r="AG6" s="26">
        <f t="shared" ref="AG6" si="23">+AG4-AG5</f>
        <v>31630.91407861816</v>
      </c>
      <c r="AH6" s="26">
        <f t="shared" ref="AH6" si="24">+AH4-AH5</f>
        <v>31489.32260505169</v>
      </c>
      <c r="AI6" s="26">
        <f t="shared" ref="AI6" si="25">+AI4-AI5</f>
        <v>31348.364946408714</v>
      </c>
      <c r="AJ6" s="26">
        <f t="shared" ref="AJ6" si="26">+AJ4-AJ5</f>
        <v>31208.038265503154</v>
      </c>
      <c r="AK6" s="26">
        <f t="shared" ref="AK6" si="27">+AK4-AK5</f>
        <v>31068.339737849212</v>
      </c>
      <c r="AL6" s="26">
        <f t="shared" ref="AL6" si="28">+AL4-AL5</f>
        <v>30929.266551604513</v>
      </c>
      <c r="AM6" s="26">
        <f t="shared" ref="AM6" si="29">+AM4-AM5</f>
        <v>30790.815907513512</v>
      </c>
      <c r="AN6" s="26">
        <f t="shared" ref="AN6" si="30">+AN4-AN5</f>
        <v>30652.985018851152</v>
      </c>
      <c r="AO6" s="26">
        <f t="shared" ref="AO6" si="31">+AO4-AO5</f>
        <v>30515.771111366768</v>
      </c>
      <c r="AP6" s="26">
        <f t="shared" ref="AP6" si="32">+AP4-AP5</f>
        <v>30379.17142322825</v>
      </c>
      <c r="AQ6" s="26">
        <f t="shared" ref="AQ6" si="33">+AQ4-AQ5</f>
        <v>30243.183204966455</v>
      </c>
      <c r="AR6" s="26">
        <f t="shared" ref="AR6" si="34">+AR4-AR5</f>
        <v>30107.803719419859</v>
      </c>
      <c r="AS6" s="26">
        <f t="shared" ref="AS6" si="35">+AS4-AS5</f>
        <v>29973.030241679473</v>
      </c>
      <c r="AT6" s="26">
        <f t="shared" ref="AT6" si="36">+AT4-AT5</f>
        <v>29838.860059033992</v>
      </c>
      <c r="AU6" s="26">
        <f t="shared" ref="AU6" si="37">+AU4-AU5</f>
        <v>29705.290470915188</v>
      </c>
      <c r="AV6" s="26">
        <f t="shared" ref="AV6" si="38">+AV4-AV5</f>
        <v>29572.318788843564</v>
      </c>
      <c r="AW6" s="26">
        <f t="shared" ref="AW6" si="39">+AW4-AW5</f>
        <v>29439.942336374232</v>
      </c>
      <c r="AX6" s="26">
        <f t="shared" ref="AX6" si="40">+AX4-AX5</f>
        <v>29308.158449043043</v>
      </c>
      <c r="AY6" s="26">
        <f t="shared" ref="AY6" si="41">+AY4-AY5</f>
        <v>29176.964474312965</v>
      </c>
      <c r="AZ6" s="26">
        <f t="shared" ref="AZ6" si="42">+AZ4-AZ5</f>
        <v>29046.357771520677</v>
      </c>
      <c r="BA6" s="26">
        <f t="shared" ref="BA6" si="43">+BA4-BA5</f>
        <v>28916.335711823434</v>
      </c>
      <c r="BB6" s="26">
        <f t="shared" ref="BB6" si="44">+BB4-BB5</f>
        <v>28786.895678146146</v>
      </c>
      <c r="BC6" s="26">
        <f t="shared" ref="BC6" si="45">+BC4-BC5</f>
        <v>28658.035065128697</v>
      </c>
      <c r="BD6" s="26">
        <f t="shared" ref="BD6" si="46">+BD4-BD5</f>
        <v>28529.75127907352</v>
      </c>
      <c r="BE6" s="26">
        <f t="shared" ref="BE6" si="47">+BE4-BE5</f>
        <v>28402.041737893378</v>
      </c>
      <c r="BF6" s="26">
        <f t="shared" ref="BF6" si="48">+BF4-BF5</f>
        <v>28274.903871059389</v>
      </c>
      <c r="BG6" s="26">
        <f t="shared" ref="BG6" si="49">+BG4-BG5</f>
        <v>28148.335119549301</v>
      </c>
      <c r="BH6" s="26">
        <f t="shared" ref="BH6" si="50">+BH4-BH5</f>
        <v>28022.332935795974</v>
      </c>
      <c r="BI6" s="26">
        <f t="shared" ref="BI6" si="51">+BI4-BI5</f>
        <v>27896.8947836361</v>
      </c>
      <c r="BJ6" s="26">
        <f t="shared" ref="BJ6" si="52">+BJ4-BJ5</f>
        <v>27772.018138259169</v>
      </c>
      <c r="BK6" s="26">
        <f t="shared" ref="BK6" si="53">+BK4-BK5</f>
        <v>27647.700486156635</v>
      </c>
      <c r="BL6" s="26">
        <f t="shared" ref="BL6" si="54">+BL4-BL5</f>
        <v>27523.939325071329</v>
      </c>
      <c r="BM6" s="26">
        <f t="shared" ref="BM6" si="55">+BM4-BM5</f>
        <v>27400.732163947101</v>
      </c>
      <c r="BN6" s="26">
        <f t="shared" ref="BN6" si="56">+BN4-BN5</f>
        <v>27278.076522878669</v>
      </c>
      <c r="BO6" s="26">
        <f t="shared" ref="BO6" si="57">+BO4-BO5</f>
        <v>27155.969933061711</v>
      </c>
      <c r="BP6" s="26">
        <f>+SUM(E6:BO6)</f>
        <v>1972655.7769257731</v>
      </c>
    </row>
    <row r="7" spans="1:74" ht="15">
      <c r="A7" s="1" t="s">
        <v>56</v>
      </c>
      <c r="B7" s="11">
        <v>300</v>
      </c>
      <c r="D7" s="18" t="s">
        <v>52</v>
      </c>
      <c r="E7" s="26">
        <f>+((E6*$B$6)*7)/1000</f>
        <v>27141.355145452289</v>
      </c>
      <c r="F7" s="26">
        <f t="shared" ref="F7:AJ7" si="58">+((F6*$B$6)*7)/1000</f>
        <v>27019.860570237553</v>
      </c>
      <c r="G7" s="26">
        <f t="shared" si="58"/>
        <v>26898.909848921332</v>
      </c>
      <c r="H7" s="26">
        <f t="shared" si="58"/>
        <v>26778.500547015796</v>
      </c>
      <c r="I7" s="26">
        <f t="shared" si="58"/>
        <v>26658.630240930794</v>
      </c>
      <c r="J7" s="26">
        <f t="shared" si="58"/>
        <v>26539.296517925024</v>
      </c>
      <c r="K7" s="26">
        <f t="shared" si="58"/>
        <v>26420.496976057511</v>
      </c>
      <c r="L7" s="26">
        <f t="shared" si="58"/>
        <v>26302.229224139235</v>
      </c>
      <c r="M7" s="26">
        <f t="shared" si="58"/>
        <v>26184.490881684997</v>
      </c>
      <c r="N7" s="26">
        <f t="shared" si="58"/>
        <v>26067.279578865528</v>
      </c>
      <c r="O7" s="26">
        <f t="shared" si="58"/>
        <v>25950.592956459765</v>
      </c>
      <c r="P7" s="26">
        <f t="shared" si="58"/>
        <v>25834.428665807398</v>
      </c>
      <c r="Q7" s="26">
        <f t="shared" si="58"/>
        <v>25718.784368761546</v>
      </c>
      <c r="R7" s="26">
        <f t="shared" si="58"/>
        <v>25603.657737641744</v>
      </c>
      <c r="S7" s="26">
        <f t="shared" si="58"/>
        <v>25489.046455187065</v>
      </c>
      <c r="T7" s="26">
        <f t="shared" si="58"/>
        <v>25374.948214509484</v>
      </c>
      <c r="U7" s="26">
        <f t="shared" si="58"/>
        <v>25261.360719047439</v>
      </c>
      <c r="V7" s="26">
        <f t="shared" si="58"/>
        <v>25148.281682519628</v>
      </c>
      <c r="W7" s="26">
        <f t="shared" si="58"/>
        <v>25035.708828878964</v>
      </c>
      <c r="X7" s="26">
        <f t="shared" si="58"/>
        <v>24923.639892266783</v>
      </c>
      <c r="Y7" s="26">
        <f t="shared" si="58"/>
        <v>24812.072616967216</v>
      </c>
      <c r="Z7" s="26">
        <f t="shared" si="58"/>
        <v>24701.004757361807</v>
      </c>
      <c r="AA7" s="26">
        <f t="shared" si="58"/>
        <v>24590.434077884311</v>
      </c>
      <c r="AB7" s="26">
        <f t="shared" si="58"/>
        <v>24480.358352975669</v>
      </c>
      <c r="AC7" s="26">
        <f t="shared" si="58"/>
        <v>24370.775367039259</v>
      </c>
      <c r="AD7" s="26">
        <f t="shared" si="58"/>
        <v>24261.68291439626</v>
      </c>
      <c r="AE7" s="26">
        <f t="shared" si="58"/>
        <v>24153.07879924127</v>
      </c>
      <c r="AF7" s="26">
        <f t="shared" si="58"/>
        <v>24044.960835598125</v>
      </c>
      <c r="AG7" s="26">
        <f t="shared" si="58"/>
        <v>23937.326847275865</v>
      </c>
      <c r="AH7" s="26">
        <f t="shared" si="58"/>
        <v>23830.174667824969</v>
      </c>
      <c r="AI7" s="26">
        <f t="shared" si="58"/>
        <v>23723.502140493722</v>
      </c>
      <c r="AJ7" s="26">
        <f t="shared" si="58"/>
        <v>23617.307118184825</v>
      </c>
      <c r="AK7" s="26">
        <f t="shared" ref="AK7:BO7" si="59">+((AK6*$B$6)*7)/1000</f>
        <v>23511.58746341215</v>
      </c>
      <c r="AL7" s="26">
        <f t="shared" si="59"/>
        <v>23406.341048257749</v>
      </c>
      <c r="AM7" s="26">
        <f t="shared" si="59"/>
        <v>23301.565754329</v>
      </c>
      <c r="AN7" s="26">
        <f t="shared" si="59"/>
        <v>23197.259472715985</v>
      </c>
      <c r="AO7" s="26">
        <f t="shared" si="59"/>
        <v>23093.420103949029</v>
      </c>
      <c r="AP7" s="26">
        <f t="shared" si="59"/>
        <v>22990.04555795644</v>
      </c>
      <c r="AQ7" s="26">
        <f t="shared" si="59"/>
        <v>22887.133754022463</v>
      </c>
      <c r="AR7" s="26">
        <f t="shared" si="59"/>
        <v>22784.682620745367</v>
      </c>
      <c r="AS7" s="26">
        <f t="shared" si="59"/>
        <v>22682.690095995775</v>
      </c>
      <c r="AT7" s="26">
        <f t="shared" si="59"/>
        <v>22581.154126875153</v>
      </c>
      <c r="AU7" s="26">
        <f t="shared" si="59"/>
        <v>22480.072669674486</v>
      </c>
      <c r="AV7" s="26">
        <f t="shared" si="59"/>
        <v>22379.443689833144</v>
      </c>
      <c r="AW7" s="26">
        <f t="shared" si="59"/>
        <v>22279.265161897929</v>
      </c>
      <c r="AX7" s="26">
        <f t="shared" si="59"/>
        <v>22179.535069482303</v>
      </c>
      <c r="AY7" s="26">
        <f t="shared" si="59"/>
        <v>22080.251405225819</v>
      </c>
      <c r="AZ7" s="26">
        <f t="shared" si="59"/>
        <v>21981.412170753702</v>
      </c>
      <c r="BA7" s="26">
        <f t="shared" si="59"/>
        <v>21883.01537663662</v>
      </c>
      <c r="BB7" s="26">
        <f t="shared" si="59"/>
        <v>21785.059042350662</v>
      </c>
      <c r="BC7" s="26">
        <f t="shared" si="59"/>
        <v>21687.541196237446</v>
      </c>
      <c r="BD7" s="26">
        <f t="shared" si="59"/>
        <v>21590.459875464468</v>
      </c>
      <c r="BE7" s="26">
        <f t="shared" si="59"/>
        <v>21493.813125985573</v>
      </c>
      <c r="BF7" s="26">
        <f t="shared" si="59"/>
        <v>21397.599002501614</v>
      </c>
      <c r="BG7" s="26">
        <f t="shared" si="59"/>
        <v>21301.815568421323</v>
      </c>
      <c r="BH7" s="26">
        <f t="shared" si="59"/>
        <v>21206.460895822322</v>
      </c>
      <c r="BI7" s="26">
        <f t="shared" si="59"/>
        <v>21111.533065412292</v>
      </c>
      <c r="BJ7" s="26">
        <f t="shared" si="59"/>
        <v>21017.030166490389</v>
      </c>
      <c r="BK7" s="26">
        <f t="shared" si="59"/>
        <v>20922.950296908755</v>
      </c>
      <c r="BL7" s="26">
        <f t="shared" si="59"/>
        <v>20829.291563034229</v>
      </c>
      <c r="BM7" s="26">
        <f t="shared" si="59"/>
        <v>20736.052079710244</v>
      </c>
      <c r="BN7" s="26">
        <f t="shared" si="59"/>
        <v>20643.22997021889</v>
      </c>
      <c r="BO7" s="26">
        <f t="shared" si="59"/>
        <v>20550.823366243112</v>
      </c>
      <c r="BP7" s="26"/>
    </row>
    <row r="8" spans="1:74" ht="15">
      <c r="C8">
        <v>1</v>
      </c>
      <c r="D8" s="18" t="s">
        <v>97</v>
      </c>
      <c r="E8" s="26">
        <f>+((E4*$B$5)*7)*$C$8</f>
        <v>212085.06199999998</v>
      </c>
      <c r="F8" s="26">
        <f t="shared" ref="F8:BO8" si="60">+((F4*$B$5)*7)*$C$8</f>
        <v>211135.69214064724</v>
      </c>
      <c r="G8" s="26">
        <f t="shared" si="60"/>
        <v>210190.57200601042</v>
      </c>
      <c r="H8" s="26">
        <f t="shared" si="60"/>
        <v>209249.68257277628</v>
      </c>
      <c r="I8" s="26">
        <f t="shared" si="60"/>
        <v>208313.00490278684</v>
      </c>
      <c r="J8" s="26">
        <f t="shared" si="60"/>
        <v>207380.52014265835</v>
      </c>
      <c r="K8" s="26">
        <f t="shared" si="60"/>
        <v>206452.2095234016</v>
      </c>
      <c r="L8" s="26">
        <f t="shared" si="60"/>
        <v>205528.0543600441</v>
      </c>
      <c r="M8" s="26">
        <f t="shared" si="60"/>
        <v>204608.03605125422</v>
      </c>
      <c r="N8" s="26">
        <f t="shared" si="60"/>
        <v>203692.13607896661</v>
      </c>
      <c r="O8" s="26">
        <f t="shared" si="60"/>
        <v>202780.3360080095</v>
      </c>
      <c r="P8" s="26">
        <f t="shared" si="60"/>
        <v>201872.61748573362</v>
      </c>
      <c r="Q8" s="26">
        <f t="shared" si="60"/>
        <v>200968.96224164296</v>
      </c>
      <c r="R8" s="26">
        <f t="shared" si="60"/>
        <v>200069.35208702675</v>
      </c>
      <c r="S8" s="26">
        <f t="shared" si="60"/>
        <v>199173.76891459353</v>
      </c>
      <c r="T8" s="26">
        <f t="shared" si="60"/>
        <v>198282.19469810676</v>
      </c>
      <c r="U8" s="26">
        <f t="shared" si="60"/>
        <v>197394.6114920218</v>
      </c>
      <c r="V8" s="26">
        <f t="shared" si="60"/>
        <v>196511.00143112475</v>
      </c>
      <c r="W8" s="26">
        <f t="shared" si="60"/>
        <v>195631.34673017304</v>
      </c>
      <c r="X8" s="26">
        <f t="shared" si="60"/>
        <v>194755.62968353723</v>
      </c>
      <c r="Y8" s="26">
        <f t="shared" si="60"/>
        <v>193883.83266484473</v>
      </c>
      <c r="Z8" s="26">
        <f t="shared" si="60"/>
        <v>193015.938126625</v>
      </c>
      <c r="AA8" s="26">
        <f t="shared" si="60"/>
        <v>192151.92859995636</v>
      </c>
      <c r="AB8" s="26">
        <f t="shared" si="60"/>
        <v>191291.78669411439</v>
      </c>
      <c r="AC8" s="26">
        <f t="shared" si="60"/>
        <v>190435.49509622183</v>
      </c>
      <c r="AD8" s="26">
        <f t="shared" si="60"/>
        <v>189583.03657090018</v>
      </c>
      <c r="AE8" s="26">
        <f t="shared" si="60"/>
        <v>188734.39395992283</v>
      </c>
      <c r="AF8" s="26">
        <f t="shared" si="60"/>
        <v>187889.55018186948</v>
      </c>
      <c r="AG8" s="26">
        <f t="shared" si="60"/>
        <v>187048.48823178266</v>
      </c>
      <c r="AH8" s="26">
        <f t="shared" si="60"/>
        <v>186211.19118082512</v>
      </c>
      <c r="AI8" s="26">
        <f t="shared" si="60"/>
        <v>185377.64217593928</v>
      </c>
      <c r="AJ8" s="26">
        <f t="shared" si="60"/>
        <v>184547.82443950808</v>
      </c>
      <c r="AK8" s="26">
        <f t="shared" si="60"/>
        <v>183721.72126901706</v>
      </c>
      <c r="AL8" s="26">
        <f t="shared" si="60"/>
        <v>182899.31603671832</v>
      </c>
      <c r="AM8" s="26">
        <f t="shared" si="60"/>
        <v>182080.59218929574</v>
      </c>
      <c r="AN8" s="26">
        <f t="shared" si="60"/>
        <v>181265.53324753203</v>
      </c>
      <c r="AO8" s="26">
        <f t="shared" si="60"/>
        <v>180454.12280597672</v>
      </c>
      <c r="AP8" s="26">
        <f t="shared" si="60"/>
        <v>179646.34453261615</v>
      </c>
      <c r="AQ8" s="26">
        <f t="shared" si="60"/>
        <v>178842.18216854471</v>
      </c>
      <c r="AR8" s="26">
        <f t="shared" si="60"/>
        <v>178041.61952763752</v>
      </c>
      <c r="AS8" s="26">
        <f t="shared" si="60"/>
        <v>177244.64049622469</v>
      </c>
      <c r="AT8" s="26">
        <f t="shared" si="60"/>
        <v>176451.22903276706</v>
      </c>
      <c r="AU8" s="26">
        <f t="shared" si="60"/>
        <v>175661.36916753309</v>
      </c>
      <c r="AV8" s="26">
        <f t="shared" si="60"/>
        <v>174875.04500227771</v>
      </c>
      <c r="AW8" s="26">
        <f t="shared" si="60"/>
        <v>174092.24070992207</v>
      </c>
      <c r="AX8" s="26">
        <f t="shared" si="60"/>
        <v>173312.94053423509</v>
      </c>
      <c r="AY8" s="26">
        <f t="shared" si="60"/>
        <v>172537.1287895164</v>
      </c>
      <c r="AZ8" s="26">
        <f t="shared" si="60"/>
        <v>171764.78986028041</v>
      </c>
      <c r="BA8" s="26">
        <f t="shared" si="60"/>
        <v>170995.90820094221</v>
      </c>
      <c r="BB8" s="26">
        <f t="shared" si="60"/>
        <v>170230.46833550456</v>
      </c>
      <c r="BC8" s="26">
        <f t="shared" si="60"/>
        <v>169468.45485724634</v>
      </c>
      <c r="BD8" s="26">
        <f t="shared" si="60"/>
        <v>168709.85242841262</v>
      </c>
      <c r="BE8" s="26">
        <f t="shared" si="60"/>
        <v>167954.64577990581</v>
      </c>
      <c r="BF8" s="26">
        <f t="shared" si="60"/>
        <v>167202.81971097831</v>
      </c>
      <c r="BG8" s="26">
        <f t="shared" si="60"/>
        <v>166454.35908892661</v>
      </c>
      <c r="BH8" s="26">
        <f t="shared" si="60"/>
        <v>165709.24884878675</v>
      </c>
      <c r="BI8" s="26">
        <f t="shared" si="60"/>
        <v>164967.47399303087</v>
      </c>
      <c r="BJ8" s="26">
        <f t="shared" si="60"/>
        <v>164229.01959126571</v>
      </c>
      <c r="BK8" s="26">
        <f t="shared" si="60"/>
        <v>163493.87077993172</v>
      </c>
      <c r="BL8" s="26">
        <f t="shared" si="60"/>
        <v>162762.0127620041</v>
      </c>
      <c r="BM8" s="26">
        <f t="shared" si="60"/>
        <v>162033.43080669493</v>
      </c>
      <c r="BN8" s="26">
        <f t="shared" si="60"/>
        <v>161308.1102491566</v>
      </c>
      <c r="BO8" s="26">
        <f t="shared" si="60"/>
        <v>160586.0364901867</v>
      </c>
      <c r="BP8" s="26">
        <f>+SUM(E8:BO8)</f>
        <v>11665242.425766096</v>
      </c>
    </row>
    <row r="9" spans="1:74" ht="15">
      <c r="C9">
        <f>+B2+B16</f>
        <v>71691</v>
      </c>
      <c r="D9" s="18" t="s">
        <v>98</v>
      </c>
      <c r="E9" s="26">
        <f>+(E8*$B$4)/1000</f>
        <v>13104.735980979998</v>
      </c>
      <c r="F9" s="26">
        <f t="shared" ref="F9:BN9" si="61">+(F8*$B$4)/1000</f>
        <v>13046.074417370593</v>
      </c>
      <c r="G9" s="26">
        <f t="shared" si="61"/>
        <v>12987.675444251385</v>
      </c>
      <c r="H9" s="26">
        <f t="shared" si="61"/>
        <v>12929.537886171845</v>
      </c>
      <c r="I9" s="26">
        <f t="shared" si="61"/>
        <v>12871.660572943198</v>
      </c>
      <c r="J9" s="26">
        <f t="shared" si="61"/>
        <v>12814.042339614858</v>
      </c>
      <c r="K9" s="26">
        <f t="shared" si="61"/>
        <v>12756.682026450984</v>
      </c>
      <c r="L9" s="26">
        <f t="shared" si="61"/>
        <v>12699.578478907126</v>
      </c>
      <c r="M9" s="26">
        <f t="shared" si="61"/>
        <v>12642.730547607</v>
      </c>
      <c r="N9" s="26">
        <f t="shared" si="61"/>
        <v>12586.137088319347</v>
      </c>
      <c r="O9" s="26">
        <f t="shared" si="61"/>
        <v>12529.796961934908</v>
      </c>
      <c r="P9" s="26">
        <f t="shared" si="61"/>
        <v>12473.709034443478</v>
      </c>
      <c r="Q9" s="26">
        <f t="shared" si="61"/>
        <v>12417.87217691112</v>
      </c>
      <c r="R9" s="26">
        <f t="shared" si="61"/>
        <v>12362.285265457382</v>
      </c>
      <c r="S9" s="26">
        <f t="shared" si="61"/>
        <v>12306.947181232734</v>
      </c>
      <c r="T9" s="26">
        <f t="shared" si="61"/>
        <v>12251.856810396015</v>
      </c>
      <c r="U9" s="26">
        <f t="shared" si="61"/>
        <v>12197.013044092027</v>
      </c>
      <c r="V9" s="26">
        <f t="shared" si="61"/>
        <v>12142.414778429198</v>
      </c>
      <c r="W9" s="26">
        <f t="shared" si="61"/>
        <v>12088.060914457392</v>
      </c>
      <c r="X9" s="26">
        <f t="shared" si="61"/>
        <v>12033.950358145767</v>
      </c>
      <c r="Y9" s="26">
        <f t="shared" si="61"/>
        <v>11980.082020360755</v>
      </c>
      <c r="Z9" s="26">
        <f t="shared" si="61"/>
        <v>11926.454816844158</v>
      </c>
      <c r="AA9" s="26">
        <f t="shared" si="61"/>
        <v>11873.067668191303</v>
      </c>
      <c r="AB9" s="26">
        <f t="shared" si="61"/>
        <v>11819.919499829328</v>
      </c>
      <c r="AC9" s="26">
        <f t="shared" si="61"/>
        <v>11767.009241995547</v>
      </c>
      <c r="AD9" s="26">
        <f t="shared" si="61"/>
        <v>11714.335829715923</v>
      </c>
      <c r="AE9" s="26">
        <f t="shared" si="61"/>
        <v>11661.898202783632</v>
      </c>
      <c r="AF9" s="26">
        <f t="shared" si="61"/>
        <v>11609.695305737716</v>
      </c>
      <c r="AG9" s="26">
        <f t="shared" si="61"/>
        <v>11557.726087841849</v>
      </c>
      <c r="AH9" s="26">
        <f t="shared" si="61"/>
        <v>11505.989503063183</v>
      </c>
      <c r="AI9" s="26">
        <f t="shared" si="61"/>
        <v>11454.484510051288</v>
      </c>
      <c r="AJ9" s="26">
        <f t="shared" si="61"/>
        <v>11403.210072117205</v>
      </c>
      <c r="AK9" s="26">
        <f t="shared" si="61"/>
        <v>11352.165157212563</v>
      </c>
      <c r="AL9" s="26">
        <f t="shared" si="61"/>
        <v>11301.348737908826</v>
      </c>
      <c r="AM9" s="26">
        <f t="shared" si="61"/>
        <v>11250.759791376584</v>
      </c>
      <c r="AN9" s="26">
        <f t="shared" si="61"/>
        <v>11200.397299365004</v>
      </c>
      <c r="AO9" s="26">
        <f t="shared" si="61"/>
        <v>11150.260248181301</v>
      </c>
      <c r="AP9" s="26">
        <f t="shared" si="61"/>
        <v>11100.347628670352</v>
      </c>
      <c r="AQ9" s="26">
        <f t="shared" si="61"/>
        <v>11050.658436194377</v>
      </c>
      <c r="AR9" s="26">
        <f t="shared" si="61"/>
        <v>11001.191670612723</v>
      </c>
      <c r="AS9" s="26">
        <f t="shared" si="61"/>
        <v>10951.946336261723</v>
      </c>
      <c r="AT9" s="26">
        <f t="shared" si="61"/>
        <v>10902.921441934677</v>
      </c>
      <c r="AU9" s="26">
        <f t="shared" si="61"/>
        <v>10854.11600086187</v>
      </c>
      <c r="AV9" s="26">
        <f t="shared" si="61"/>
        <v>10805.529030690739</v>
      </c>
      <c r="AW9" s="26">
        <f t="shared" si="61"/>
        <v>10757.159553466085</v>
      </c>
      <c r="AX9" s="26">
        <f t="shared" si="61"/>
        <v>10709.006595610386</v>
      </c>
      <c r="AY9" s="26">
        <f t="shared" si="61"/>
        <v>10661.069187904219</v>
      </c>
      <c r="AZ9" s="26">
        <f t="shared" si="61"/>
        <v>10613.346365466727</v>
      </c>
      <c r="BA9" s="26">
        <f t="shared" si="61"/>
        <v>10565.837167736219</v>
      </c>
      <c r="BB9" s="26">
        <f t="shared" si="61"/>
        <v>10518.540638450826</v>
      </c>
      <c r="BC9" s="26">
        <f t="shared" si="61"/>
        <v>10471.455825629251</v>
      </c>
      <c r="BD9" s="26">
        <f t="shared" si="61"/>
        <v>10424.581781551617</v>
      </c>
      <c r="BE9" s="26">
        <f t="shared" si="61"/>
        <v>10377.91756274038</v>
      </c>
      <c r="BF9" s="26">
        <f t="shared" si="61"/>
        <v>10331.46222994135</v>
      </c>
      <c r="BG9" s="26">
        <f t="shared" si="61"/>
        <v>10285.214848104775</v>
      </c>
      <c r="BH9" s="26">
        <f t="shared" si="61"/>
        <v>10239.174486366534</v>
      </c>
      <c r="BI9" s="26">
        <f t="shared" si="61"/>
        <v>10193.340218029378</v>
      </c>
      <c r="BJ9" s="26">
        <f t="shared" si="61"/>
        <v>10147.711120544309</v>
      </c>
      <c r="BK9" s="26">
        <f t="shared" si="61"/>
        <v>10102.286275491981</v>
      </c>
      <c r="BL9" s="26">
        <f t="shared" si="61"/>
        <v>10057.064768564234</v>
      </c>
      <c r="BM9" s="26">
        <f t="shared" si="61"/>
        <v>10012.045689545679</v>
      </c>
      <c r="BN9" s="26">
        <f t="shared" si="61"/>
        <v>9967.2281322953877</v>
      </c>
      <c r="BO9" s="26">
        <f>+(BO8*$B$4)/1000</f>
        <v>9922.6111947286354</v>
      </c>
      <c r="BP9" s="26">
        <f>+SUM(E9:BO9)</f>
        <v>720795.32948808721</v>
      </c>
      <c r="BQ9" s="28">
        <f>+BP9*'Estado de Resultados'!C26</f>
        <v>612676030.06487417</v>
      </c>
      <c r="BU9" s="21">
        <f>(SUM(E7:AZ7))</f>
        <v>1174690.0377126802</v>
      </c>
      <c r="BV9">
        <f>(BU9/46)</f>
        <v>25536.739950275656</v>
      </c>
    </row>
    <row r="10" spans="1:74" ht="15">
      <c r="C10">
        <v>1</v>
      </c>
      <c r="D10" s="18" t="s">
        <v>99</v>
      </c>
      <c r="E10" s="9">
        <f>+(E7*$B$7)*$C$10</f>
        <v>8142406.5436356869</v>
      </c>
      <c r="F10" s="9">
        <f t="shared" ref="F10:BO10" si="62">+(F7*$B$7)*$C$10</f>
        <v>8105958.1710712658</v>
      </c>
      <c r="G10" s="9">
        <f t="shared" si="62"/>
        <v>8069672.9546763999</v>
      </c>
      <c r="H10" s="9">
        <f t="shared" si="62"/>
        <v>8033550.1641047383</v>
      </c>
      <c r="I10" s="9">
        <f t="shared" si="62"/>
        <v>7997589.0722792381</v>
      </c>
      <c r="J10" s="9">
        <f t="shared" si="62"/>
        <v>7961788.955377507</v>
      </c>
      <c r="K10" s="9">
        <f t="shared" si="62"/>
        <v>7926149.0928172534</v>
      </c>
      <c r="L10" s="9">
        <f t="shared" si="62"/>
        <v>7890668.7672417704</v>
      </c>
      <c r="M10" s="9">
        <f t="shared" si="62"/>
        <v>7855347.264505499</v>
      </c>
      <c r="N10" s="9">
        <f t="shared" si="62"/>
        <v>7820183.8736596582</v>
      </c>
      <c r="O10" s="9">
        <f t="shared" si="62"/>
        <v>7785177.8869379293</v>
      </c>
      <c r="P10" s="9">
        <f t="shared" si="62"/>
        <v>7750328.5997422198</v>
      </c>
      <c r="Q10" s="9">
        <f t="shared" si="62"/>
        <v>7715635.3106284635</v>
      </c>
      <c r="R10" s="9">
        <f t="shared" si="62"/>
        <v>7681097.3212925233</v>
      </c>
      <c r="S10" s="9">
        <f t="shared" si="62"/>
        <v>7646713.9365561195</v>
      </c>
      <c r="T10" s="9">
        <f t="shared" si="62"/>
        <v>7612484.4643528452</v>
      </c>
      <c r="U10" s="9">
        <f t="shared" si="62"/>
        <v>7578408.2157142321</v>
      </c>
      <c r="V10" s="9">
        <f t="shared" si="62"/>
        <v>7544484.5047558881</v>
      </c>
      <c r="W10" s="9">
        <f t="shared" si="62"/>
        <v>7510712.6486636894</v>
      </c>
      <c r="X10" s="9">
        <f t="shared" si="62"/>
        <v>7477091.9676800352</v>
      </c>
      <c r="Y10" s="9">
        <f t="shared" si="62"/>
        <v>7443621.7850901652</v>
      </c>
      <c r="Z10" s="9">
        <f t="shared" si="62"/>
        <v>7410301.4272085419</v>
      </c>
      <c r="AA10" s="9">
        <f t="shared" si="62"/>
        <v>7377130.2233652929</v>
      </c>
      <c r="AB10" s="9">
        <f t="shared" si="62"/>
        <v>7344107.5058927005</v>
      </c>
      <c r="AC10" s="9">
        <f t="shared" si="62"/>
        <v>7311232.6101117777</v>
      </c>
      <c r="AD10" s="9">
        <f t="shared" si="62"/>
        <v>7278504.8743188782</v>
      </c>
      <c r="AE10" s="9">
        <f t="shared" si="62"/>
        <v>7245923.6397723807</v>
      </c>
      <c r="AF10" s="9">
        <f t="shared" si="62"/>
        <v>7213488.250679438</v>
      </c>
      <c r="AG10" s="9">
        <f t="shared" si="62"/>
        <v>7181198.0541827595</v>
      </c>
      <c r="AH10" s="9">
        <f t="shared" si="62"/>
        <v>7149052.4003474908</v>
      </c>
      <c r="AI10" s="9">
        <f t="shared" si="62"/>
        <v>7117050.6421481166</v>
      </c>
      <c r="AJ10" s="9">
        <f t="shared" si="62"/>
        <v>7085192.1354554472</v>
      </c>
      <c r="AK10" s="9">
        <f t="shared" si="62"/>
        <v>7053476.2390236454</v>
      </c>
      <c r="AL10" s="9">
        <f t="shared" si="62"/>
        <v>7021902.3144773245</v>
      </c>
      <c r="AM10" s="9">
        <f t="shared" si="62"/>
        <v>6990469.7262987001</v>
      </c>
      <c r="AN10" s="9">
        <f t="shared" si="62"/>
        <v>6959177.8418147955</v>
      </c>
      <c r="AO10" s="9">
        <f t="shared" si="62"/>
        <v>6928026.0311847087</v>
      </c>
      <c r="AP10" s="9">
        <f t="shared" si="62"/>
        <v>6897013.6673869323</v>
      </c>
      <c r="AQ10" s="9">
        <f t="shared" si="62"/>
        <v>6866140.1262067389</v>
      </c>
      <c r="AR10" s="9">
        <f t="shared" si="62"/>
        <v>6835404.7862236099</v>
      </c>
      <c r="AS10" s="9">
        <f t="shared" si="62"/>
        <v>6804807.028798732</v>
      </c>
      <c r="AT10" s="9">
        <f t="shared" si="62"/>
        <v>6774346.2380625457</v>
      </c>
      <c r="AU10" s="9">
        <f t="shared" si="62"/>
        <v>6744021.8009023461</v>
      </c>
      <c r="AV10" s="9">
        <f t="shared" si="62"/>
        <v>6713833.1069499431</v>
      </c>
      <c r="AW10" s="9">
        <f t="shared" si="62"/>
        <v>6683779.5485693784</v>
      </c>
      <c r="AX10" s="9">
        <f t="shared" si="62"/>
        <v>6653860.5208446905</v>
      </c>
      <c r="AY10" s="9">
        <f t="shared" si="62"/>
        <v>6624075.4215677455</v>
      </c>
      <c r="AZ10" s="9">
        <f t="shared" si="62"/>
        <v>6594423.6512261108</v>
      </c>
      <c r="BA10" s="9">
        <f t="shared" si="62"/>
        <v>6564904.6129909856</v>
      </c>
      <c r="BB10" s="9">
        <f t="shared" si="62"/>
        <v>6535517.7127051987</v>
      </c>
      <c r="BC10" s="9">
        <f t="shared" si="62"/>
        <v>6506262.3588712336</v>
      </c>
      <c r="BD10" s="9">
        <f t="shared" si="62"/>
        <v>6477137.9626393402</v>
      </c>
      <c r="BE10" s="9">
        <f t="shared" si="62"/>
        <v>6448143.9377956716</v>
      </c>
      <c r="BF10" s="9">
        <f t="shared" si="62"/>
        <v>6419279.7007504841</v>
      </c>
      <c r="BG10" s="9">
        <f t="shared" si="62"/>
        <v>6390544.6705263974</v>
      </c>
      <c r="BH10" s="9">
        <f t="shared" si="62"/>
        <v>6361938.2687466964</v>
      </c>
      <c r="BI10" s="9">
        <f t="shared" si="62"/>
        <v>6333459.9196236879</v>
      </c>
      <c r="BJ10" s="9">
        <f t="shared" si="62"/>
        <v>6305109.0499471165</v>
      </c>
      <c r="BK10" s="9">
        <f t="shared" si="62"/>
        <v>6276885.089072627</v>
      </c>
      <c r="BL10" s="9">
        <f t="shared" si="62"/>
        <v>6248787.4689102685</v>
      </c>
      <c r="BM10" s="9">
        <f t="shared" si="62"/>
        <v>6220815.623913073</v>
      </c>
      <c r="BN10" s="9">
        <f t="shared" si="62"/>
        <v>6192968.991065667</v>
      </c>
      <c r="BO10" s="9">
        <f t="shared" si="62"/>
        <v>6165247.0098729338</v>
      </c>
      <c r="BP10" s="9">
        <f>+SUM(E10:BO10)</f>
        <v>447854013.69123536</v>
      </c>
      <c r="BQ10" s="10">
        <f>+BQ9-BP10</f>
        <v>164822016.37363881</v>
      </c>
      <c r="BU10" s="21">
        <f>(SUM(E21:AZ21))</f>
        <v>1235431.7531122447</v>
      </c>
      <c r="BV10">
        <f>(BU10/46)</f>
        <v>26857.212024179233</v>
      </c>
    </row>
    <row r="11" spans="1:74" ht="15">
      <c r="BV11" s="21">
        <f>(BV9+BV10)</f>
        <v>52393.951974454889</v>
      </c>
    </row>
    <row r="12" spans="1:74" ht="15">
      <c r="D12" t="s">
        <v>100</v>
      </c>
      <c r="E12" s="10">
        <f>(SUM(E10:H10))</f>
        <v>32351587.833488092</v>
      </c>
      <c r="J12" s="10">
        <f>(SUM(I10:L10))</f>
        <v>31776195.887715772</v>
      </c>
      <c r="P12" s="10">
        <f>(SUM(M10:P10))</f>
        <v>31211037.624845304</v>
      </c>
      <c r="T12" s="10">
        <f>(SUM(Q10:T10))</f>
        <v>30655931.032829951</v>
      </c>
      <c r="X12" s="10">
        <f>(SUM(U10:X10))</f>
        <v>30110697.336813845</v>
      </c>
      <c r="AB12" s="10">
        <f>(SUM(Y10:AB10))</f>
        <v>29575160.9415567</v>
      </c>
      <c r="AF12" s="10">
        <f>(SUM(AC10:AF10))</f>
        <v>29049149.374882475</v>
      </c>
      <c r="AJ12" s="10">
        <f>(SUM(AG10:AJ10))</f>
        <v>28532493.232133817</v>
      </c>
      <c r="AN12" s="10">
        <f>(SUM(AK10:AN10))</f>
        <v>28025026.121614464</v>
      </c>
      <c r="AR12" s="10">
        <f>(SUM(AO10:AR10))</f>
        <v>27526584.611001987</v>
      </c>
      <c r="AV12" s="10">
        <f>(SUM(AS10:AV10))</f>
        <v>27037008.174713571</v>
      </c>
      <c r="AZ12" s="10">
        <f>(SUM(AW10:AZ10))</f>
        <v>26556139.142207924</v>
      </c>
    </row>
    <row r="13" spans="1:74" ht="15">
      <c r="D13" t="s">
        <v>101</v>
      </c>
      <c r="E13" s="10">
        <f>(AVERAGE(J12:AZ12))</f>
        <v>29095947.589119617</v>
      </c>
      <c r="G13" s="21">
        <f>SUM(E9:BO9)</f>
        <v>720795.32948808721</v>
      </c>
    </row>
    <row r="14" spans="1:74" ht="15">
      <c r="G14" s="21">
        <f>SUM(E23:BO23)</f>
        <v>732367.94237511326</v>
      </c>
    </row>
    <row r="15" spans="1:74" ht="15">
      <c r="A15" s="1" t="s">
        <v>89</v>
      </c>
      <c r="B15" t="s">
        <v>28</v>
      </c>
      <c r="D15" t="s">
        <v>102</v>
      </c>
      <c r="E15">
        <f>+(G13+G14)/12</f>
        <v>121096.93932193337</v>
      </c>
      <c r="G15" s="21">
        <f>G13+G14</f>
        <v>1453163.2718632005</v>
      </c>
      <c r="H15">
        <f>G15/1</f>
        <v>1453163.2718632005</v>
      </c>
    </row>
    <row r="16" spans="1:74" ht="15">
      <c r="A16" s="1" t="s">
        <v>90</v>
      </c>
      <c r="B16" s="1">
        <v>35665</v>
      </c>
      <c r="C16" s="1"/>
    </row>
    <row r="17" spans="1:68" ht="15">
      <c r="A17" s="1" t="s">
        <v>91</v>
      </c>
      <c r="B17" s="23">
        <v>0.128</v>
      </c>
      <c r="C17" s="20">
        <f>+B17/59</f>
        <v>2.1694915254237288E-3</v>
      </c>
      <c r="D17" s="18" t="s">
        <v>48</v>
      </c>
      <c r="E17" s="24">
        <v>18</v>
      </c>
      <c r="F17" s="24">
        <v>19</v>
      </c>
      <c r="G17" s="24">
        <v>20</v>
      </c>
      <c r="H17" s="24">
        <v>21</v>
      </c>
      <c r="I17" s="24">
        <v>22</v>
      </c>
      <c r="J17" s="24">
        <v>23</v>
      </c>
      <c r="K17" s="24">
        <v>24</v>
      </c>
      <c r="L17" s="24">
        <v>25</v>
      </c>
      <c r="M17" s="24">
        <v>26</v>
      </c>
      <c r="N17" s="24">
        <v>27</v>
      </c>
      <c r="O17" s="24">
        <v>28</v>
      </c>
      <c r="P17" s="24">
        <v>29</v>
      </c>
      <c r="Q17" s="24">
        <v>30</v>
      </c>
      <c r="R17" s="24">
        <v>31</v>
      </c>
      <c r="S17" s="24">
        <v>32</v>
      </c>
      <c r="T17" s="24">
        <v>33</v>
      </c>
      <c r="U17" s="24">
        <v>34</v>
      </c>
      <c r="V17" s="24">
        <v>35</v>
      </c>
      <c r="W17" s="24">
        <v>36</v>
      </c>
      <c r="X17" s="24">
        <v>37</v>
      </c>
      <c r="Y17" s="24">
        <v>38</v>
      </c>
      <c r="Z17" s="24">
        <v>39</v>
      </c>
      <c r="AA17" s="24">
        <v>40</v>
      </c>
      <c r="AB17" s="24">
        <v>41</v>
      </c>
      <c r="AC17" s="24">
        <v>42</v>
      </c>
      <c r="AD17" s="24">
        <v>43</v>
      </c>
      <c r="AE17" s="24">
        <v>44</v>
      </c>
      <c r="AF17" s="24">
        <v>45</v>
      </c>
      <c r="AG17" s="24">
        <v>46</v>
      </c>
      <c r="AH17" s="24">
        <v>47</v>
      </c>
      <c r="AI17" s="24">
        <v>48</v>
      </c>
      <c r="AJ17" s="24">
        <v>49</v>
      </c>
      <c r="AK17" s="24">
        <v>50</v>
      </c>
      <c r="AL17" s="24">
        <v>51</v>
      </c>
      <c r="AM17" s="24">
        <v>52</v>
      </c>
      <c r="AN17" s="24">
        <v>53</v>
      </c>
      <c r="AO17" s="24">
        <v>54</v>
      </c>
      <c r="AP17" s="24">
        <v>55</v>
      </c>
      <c r="AQ17" s="24">
        <v>56</v>
      </c>
      <c r="AR17" s="24">
        <v>57</v>
      </c>
      <c r="AS17" s="24">
        <v>58</v>
      </c>
      <c r="AT17" s="24">
        <v>59</v>
      </c>
      <c r="AU17" s="24">
        <v>60</v>
      </c>
      <c r="AV17" s="24">
        <v>61</v>
      </c>
      <c r="AW17" s="24">
        <v>62</v>
      </c>
      <c r="AX17" s="24">
        <v>63</v>
      </c>
      <c r="AY17" s="24">
        <v>64</v>
      </c>
      <c r="AZ17" s="24">
        <v>65</v>
      </c>
      <c r="BA17" s="24">
        <v>66</v>
      </c>
      <c r="BB17" s="24">
        <v>67</v>
      </c>
      <c r="BC17" s="24">
        <v>68</v>
      </c>
      <c r="BD17" s="24">
        <v>69</v>
      </c>
      <c r="BE17" s="24">
        <v>70</v>
      </c>
      <c r="BF17" s="24">
        <v>71</v>
      </c>
      <c r="BG17" s="24">
        <v>72</v>
      </c>
      <c r="BH17" s="24">
        <v>73</v>
      </c>
      <c r="BI17" s="24">
        <v>74</v>
      </c>
      <c r="BJ17" s="24">
        <v>75</v>
      </c>
      <c r="BK17" s="24">
        <v>76</v>
      </c>
      <c r="BL17" s="24">
        <v>77</v>
      </c>
      <c r="BM17" s="24">
        <v>78</v>
      </c>
      <c r="BN17" s="24">
        <v>79</v>
      </c>
      <c r="BO17" s="24">
        <v>80</v>
      </c>
      <c r="BP17" s="24" t="s">
        <v>92</v>
      </c>
    </row>
    <row r="18" spans="1:68" ht="15">
      <c r="A18" s="1" t="s">
        <v>93</v>
      </c>
      <c r="B18" s="1">
        <v>62.02</v>
      </c>
      <c r="D18" s="18" t="s">
        <v>90</v>
      </c>
      <c r="E18" s="25">
        <f>+B16</f>
        <v>35665</v>
      </c>
      <c r="F18" s="26">
        <f>+E20</f>
        <v>35587.625084745763</v>
      </c>
      <c r="G18" s="26">
        <f>+F20</f>
        <v>35510.41803371445</v>
      </c>
      <c r="H18" s="26">
        <f>+G20</f>
        <v>35433.378482726053</v>
      </c>
      <c r="I18" s="26">
        <f t="shared" ref="I18:AD18" si="63">+H20</f>
        <v>35356.506068390649</v>
      </c>
      <c r="J18" s="26">
        <f t="shared" si="63"/>
        <v>35279.800428106682</v>
      </c>
      <c r="K18" s="26">
        <f t="shared" si="63"/>
        <v>35203.261200059264</v>
      </c>
      <c r="L18" s="26">
        <f t="shared" si="63"/>
        <v>35126.88802321846</v>
      </c>
      <c r="M18" s="26">
        <f t="shared" si="63"/>
        <v>35050.680537337583</v>
      </c>
      <c r="N18" s="26">
        <f t="shared" si="63"/>
        <v>34974.638382951496</v>
      </c>
      <c r="O18" s="26">
        <f t="shared" si="63"/>
        <v>34898.761201374924</v>
      </c>
      <c r="P18" s="26">
        <f t="shared" si="63"/>
        <v>34823.048634700754</v>
      </c>
      <c r="Q18" s="26">
        <f t="shared" si="63"/>
        <v>34747.500325798355</v>
      </c>
      <c r="R18" s="26">
        <f t="shared" si="63"/>
        <v>34672.11591831188</v>
      </c>
      <c r="S18" s="26">
        <f t="shared" si="63"/>
        <v>34596.895056658592</v>
      </c>
      <c r="T18" s="26">
        <f t="shared" si="63"/>
        <v>34521.837386027197</v>
      </c>
      <c r="U18" s="26">
        <f t="shared" si="63"/>
        <v>34446.942552376153</v>
      </c>
      <c r="V18" s="26">
        <f t="shared" si="63"/>
        <v>34372.210202432012</v>
      </c>
      <c r="W18" s="26">
        <f t="shared" si="63"/>
        <v>34297.639983687754</v>
      </c>
      <c r="X18" s="26">
        <f t="shared" si="63"/>
        <v>34223.231544401111</v>
      </c>
      <c r="Y18" s="26">
        <f t="shared" si="63"/>
        <v>34148.98453359292</v>
      </c>
      <c r="Z18" s="26">
        <f t="shared" si="63"/>
        <v>34074.898601045461</v>
      </c>
      <c r="AA18" s="26">
        <f t="shared" si="63"/>
        <v>34000.973397300819</v>
      </c>
      <c r="AB18" s="26">
        <f t="shared" si="63"/>
        <v>33927.20857365922</v>
      </c>
      <c r="AC18" s="26">
        <f t="shared" si="63"/>
        <v>33853.603782177386</v>
      </c>
      <c r="AD18" s="26">
        <f t="shared" si="63"/>
        <v>33780.158675666898</v>
      </c>
      <c r="AE18" s="26">
        <f>+AD20</f>
        <v>33706.872907692574</v>
      </c>
      <c r="AF18" s="26">
        <f t="shared" ref="AF18:BO18" si="64">+AE20</f>
        <v>33633.746132570799</v>
      </c>
      <c r="AG18" s="26">
        <f t="shared" si="64"/>
        <v>33560.778005367931</v>
      </c>
      <c r="AH18" s="26">
        <f t="shared" si="64"/>
        <v>33487.968181898657</v>
      </c>
      <c r="AI18" s="26">
        <f t="shared" si="64"/>
        <v>33415.31631872437</v>
      </c>
      <c r="AJ18" s="26">
        <f t="shared" si="64"/>
        <v>33342.822073151547</v>
      </c>
      <c r="AK18" s="26">
        <f t="shared" si="64"/>
        <v>33270.48510323013</v>
      </c>
      <c r="AL18" s="26">
        <f t="shared" si="64"/>
        <v>33198.305067751935</v>
      </c>
      <c r="AM18" s="26">
        <f t="shared" si="64"/>
        <v>33126.281626249016</v>
      </c>
      <c r="AN18" s="26">
        <f t="shared" si="64"/>
        <v>33054.414438992069</v>
      </c>
      <c r="AO18" s="26">
        <f t="shared" si="64"/>
        <v>32982.703166988831</v>
      </c>
      <c r="AP18" s="26">
        <f t="shared" si="64"/>
        <v>32911.147471982484</v>
      </c>
      <c r="AQ18" s="26">
        <f t="shared" si="64"/>
        <v>32839.747016450048</v>
      </c>
      <c r="AR18" s="26">
        <f t="shared" si="64"/>
        <v>32768.501463600798</v>
      </c>
      <c r="AS18" s="26">
        <f t="shared" si="64"/>
        <v>32697.41047737468</v>
      </c>
      <c r="AT18" s="26">
        <f t="shared" si="64"/>
        <v>32626.473722440714</v>
      </c>
      <c r="AU18" s="26">
        <f t="shared" si="64"/>
        <v>32555.690864195418</v>
      </c>
      <c r="AV18" s="26">
        <f t="shared" si="64"/>
        <v>32485.06156876123</v>
      </c>
      <c r="AW18" s="26">
        <f t="shared" si="64"/>
        <v>32414.585502984934</v>
      </c>
      <c r="AX18" s="26">
        <f t="shared" si="64"/>
        <v>32344.262334436084</v>
      </c>
      <c r="AY18" s="26">
        <f t="shared" si="64"/>
        <v>32274.091731405442</v>
      </c>
      <c r="AZ18" s="26">
        <f t="shared" si="64"/>
        <v>32204.073362903411</v>
      </c>
      <c r="BA18" s="26">
        <f t="shared" si="64"/>
        <v>32134.206898658467</v>
      </c>
      <c r="BB18" s="26">
        <f t="shared" si="64"/>
        <v>32064.492009115616</v>
      </c>
      <c r="BC18" s="26">
        <f t="shared" si="64"/>
        <v>31994.928365434822</v>
      </c>
      <c r="BD18" s="26">
        <f t="shared" si="64"/>
        <v>31925.515639489473</v>
      </c>
      <c r="BE18" s="26">
        <f t="shared" si="64"/>
        <v>31856.253503864817</v>
      </c>
      <c r="BF18" s="26">
        <f t="shared" si="64"/>
        <v>31787.141631856433</v>
      </c>
      <c r="BG18" s="26">
        <f t="shared" si="64"/>
        <v>31718.179697468677</v>
      </c>
      <c r="BH18" s="26">
        <f t="shared" si="64"/>
        <v>31649.367375413152</v>
      </c>
      <c r="BI18" s="26">
        <f t="shared" si="64"/>
        <v>31580.704341107172</v>
      </c>
      <c r="BJ18" s="26">
        <f t="shared" si="64"/>
        <v>31512.190270672229</v>
      </c>
      <c r="BK18" s="26">
        <f t="shared" si="64"/>
        <v>31443.824840932466</v>
      </c>
      <c r="BL18" s="26">
        <f t="shared" si="64"/>
        <v>31375.607729413154</v>
      </c>
      <c r="BM18" s="26">
        <f t="shared" si="64"/>
        <v>31307.538614339173</v>
      </c>
      <c r="BN18" s="26">
        <f t="shared" si="64"/>
        <v>31239.617174633488</v>
      </c>
      <c r="BO18" s="26">
        <f t="shared" si="64"/>
        <v>31171.843089915637</v>
      </c>
      <c r="BP18" s="26">
        <f>+BO20</f>
        <v>31104.216040500229</v>
      </c>
    </row>
    <row r="19" spans="1:68" ht="15">
      <c r="A19" s="1" t="s">
        <v>94</v>
      </c>
      <c r="B19" s="22">
        <v>0.80245</v>
      </c>
      <c r="C19">
        <v>1</v>
      </c>
      <c r="D19" s="18" t="s">
        <v>91</v>
      </c>
      <c r="E19" s="26">
        <f>+(E18*$C$17)*$C$19</f>
        <v>77.374915254237294</v>
      </c>
      <c r="F19" s="26">
        <f t="shared" ref="F19:BO19" si="65">+(F18*$C$17)*$C$19</f>
        <v>77.207051031312844</v>
      </c>
      <c r="G19" s="26">
        <f t="shared" si="65"/>
        <v>77.039550988397451</v>
      </c>
      <c r="H19" s="26">
        <f t="shared" si="65"/>
        <v>76.872414335405679</v>
      </c>
      <c r="I19" s="26">
        <f t="shared" si="65"/>
        <v>76.705640283966147</v>
      </c>
      <c r="J19" s="26">
        <f t="shared" si="65"/>
        <v>76.539228047417893</v>
      </c>
      <c r="K19" s="26">
        <f t="shared" si="65"/>
        <v>76.373176840806536</v>
      </c>
      <c r="L19" s="26">
        <f t="shared" si="65"/>
        <v>76.207485880880725</v>
      </c>
      <c r="M19" s="26">
        <f t="shared" si="65"/>
        <v>76.042154386088313</v>
      </c>
      <c r="N19" s="26">
        <f t="shared" si="65"/>
        <v>75.877181576572738</v>
      </c>
      <c r="O19" s="26">
        <f t="shared" si="65"/>
        <v>75.712566674169324</v>
      </c>
      <c r="P19" s="26">
        <f t="shared" si="65"/>
        <v>75.548308902401629</v>
      </c>
      <c r="Q19" s="26">
        <f t="shared" si="65"/>
        <v>75.384407486477784</v>
      </c>
      <c r="R19" s="26">
        <f t="shared" si="65"/>
        <v>75.220861653286789</v>
      </c>
      <c r="S19" s="26">
        <f t="shared" si="65"/>
        <v>75.057670631394913</v>
      </c>
      <c r="T19" s="26">
        <f t="shared" si="65"/>
        <v>74.894833651042049</v>
      </c>
      <c r="U19" s="26">
        <f t="shared" si="65"/>
        <v>74.732349944138093</v>
      </c>
      <c r="V19" s="26">
        <f t="shared" si="65"/>
        <v>74.570218744259279</v>
      </c>
      <c r="W19" s="26">
        <f t="shared" si="65"/>
        <v>74.408439286644622</v>
      </c>
      <c r="X19" s="26">
        <f t="shared" si="65"/>
        <v>74.247010808192243</v>
      </c>
      <c r="Y19" s="26">
        <f t="shared" si="65"/>
        <v>74.085932547455826</v>
      </c>
      <c r="Z19" s="26">
        <f t="shared" si="65"/>
        <v>73.925203744640996</v>
      </c>
      <c r="AA19" s="26">
        <f t="shared" si="65"/>
        <v>73.76482364160178</v>
      </c>
      <c r="AB19" s="26">
        <f t="shared" si="65"/>
        <v>73.604791481836955</v>
      </c>
      <c r="AC19" s="26">
        <f t="shared" si="65"/>
        <v>73.445106510486525</v>
      </c>
      <c r="AD19" s="26">
        <f t="shared" si="65"/>
        <v>73.285767974328181</v>
      </c>
      <c r="AE19" s="26">
        <f t="shared" si="65"/>
        <v>73.126775121773719</v>
      </c>
      <c r="AF19" s="26">
        <f t="shared" si="65"/>
        <v>72.96812720286546</v>
      </c>
      <c r="AG19" s="26">
        <f t="shared" si="65"/>
        <v>72.8098234692728</v>
      </c>
      <c r="AH19" s="26">
        <f t="shared" si="65"/>
        <v>72.651863174288607</v>
      </c>
      <c r="AI19" s="26">
        <f t="shared" si="65"/>
        <v>72.494245572825747</v>
      </c>
      <c r="AJ19" s="26">
        <f t="shared" si="65"/>
        <v>72.336969921413527</v>
      </c>
      <c r="AK19" s="26">
        <f t="shared" si="65"/>
        <v>72.180035478194185</v>
      </c>
      <c r="AL19" s="26">
        <f t="shared" si="65"/>
        <v>72.023441502919454</v>
      </c>
      <c r="AM19" s="26">
        <f t="shared" si="65"/>
        <v>71.86718725694702</v>
      </c>
      <c r="AN19" s="26">
        <f t="shared" si="65"/>
        <v>71.711272003237028</v>
      </c>
      <c r="AO19" s="26">
        <f t="shared" si="65"/>
        <v>71.555695006348643</v>
      </c>
      <c r="AP19" s="26">
        <f t="shared" si="65"/>
        <v>71.400455532436567</v>
      </c>
      <c r="AQ19" s="26">
        <f t="shared" si="65"/>
        <v>71.245552849247559</v>
      </c>
      <c r="AR19" s="26">
        <f t="shared" si="65"/>
        <v>71.090986226116982</v>
      </c>
      <c r="AS19" s="26">
        <f t="shared" si="65"/>
        <v>70.936754933965403</v>
      </c>
      <c r="AT19" s="26">
        <f t="shared" si="65"/>
        <v>70.782858245295103</v>
      </c>
      <c r="AU19" s="26">
        <f t="shared" si="65"/>
        <v>70.629295434186673</v>
      </c>
      <c r="AV19" s="26">
        <f t="shared" si="65"/>
        <v>70.476065776295542</v>
      </c>
      <c r="AW19" s="26">
        <f t="shared" si="65"/>
        <v>70.32316854884867</v>
      </c>
      <c r="AX19" s="26">
        <f t="shared" si="65"/>
        <v>70.17060303064099</v>
      </c>
      <c r="AY19" s="26">
        <f t="shared" si="65"/>
        <v>70.018368502032146</v>
      </c>
      <c r="AZ19" s="26">
        <f t="shared" si="65"/>
        <v>69.866464244942989</v>
      </c>
      <c r="BA19" s="26">
        <f t="shared" si="65"/>
        <v>69.714889542852262</v>
      </c>
      <c r="BB19" s="26">
        <f t="shared" si="65"/>
        <v>69.563643680793206</v>
      </c>
      <c r="BC19" s="26">
        <f t="shared" si="65"/>
        <v>69.412725945350118</v>
      </c>
      <c r="BD19" s="26">
        <f t="shared" si="65"/>
        <v>69.26213562465513</v>
      </c>
      <c r="BE19" s="26">
        <f t="shared" si="65"/>
        <v>69.11187200838468</v>
      </c>
      <c r="BF19" s="26">
        <f t="shared" si="65"/>
        <v>68.96193438775633</v>
      </c>
      <c r="BG19" s="26">
        <f t="shared" si="65"/>
        <v>68.812322055525257</v>
      </c>
      <c r="BH19" s="26">
        <f t="shared" si="65"/>
        <v>68.663034305981071</v>
      </c>
      <c r="BI19" s="26">
        <f t="shared" si="65"/>
        <v>68.514070434944372</v>
      </c>
      <c r="BJ19" s="26">
        <f t="shared" si="65"/>
        <v>68.365429739763485</v>
      </c>
      <c r="BK19" s="26">
        <f t="shared" si="65"/>
        <v>68.217111519311118</v>
      </c>
      <c r="BL19" s="26">
        <f t="shared" si="65"/>
        <v>68.069115073981081</v>
      </c>
      <c r="BM19" s="26">
        <f t="shared" si="65"/>
        <v>67.921439705684989</v>
      </c>
      <c r="BN19" s="26">
        <f t="shared" si="65"/>
        <v>67.774084717848922</v>
      </c>
      <c r="BO19" s="26">
        <f t="shared" si="65"/>
        <v>67.627049415410198</v>
      </c>
      <c r="BP19" s="26">
        <f>+SUM(E19:BO19)</f>
        <v>4560.7839594997804</v>
      </c>
    </row>
    <row r="20" spans="1:68" ht="15">
      <c r="A20" s="1" t="s">
        <v>95</v>
      </c>
      <c r="B20" s="1">
        <v>108.68</v>
      </c>
      <c r="D20" s="18" t="s">
        <v>96</v>
      </c>
      <c r="E20" s="26">
        <f>+E18-E19</f>
        <v>35587.625084745763</v>
      </c>
      <c r="F20" s="26">
        <f>+F18-F19</f>
        <v>35510.41803371445</v>
      </c>
      <c r="G20" s="26">
        <f>+G18-G19</f>
        <v>35433.378482726053</v>
      </c>
      <c r="H20" s="26">
        <f t="shared" ref="H20" si="66">+H18-H19</f>
        <v>35356.506068390649</v>
      </c>
      <c r="I20" s="26">
        <f t="shared" ref="I20" si="67">+I18-I19</f>
        <v>35279.800428106682</v>
      </c>
      <c r="J20" s="26">
        <f t="shared" ref="J20" si="68">+J18-J19</f>
        <v>35203.261200059264</v>
      </c>
      <c r="K20" s="26">
        <f t="shared" ref="K20" si="69">+K18-K19</f>
        <v>35126.88802321846</v>
      </c>
      <c r="L20" s="26">
        <f t="shared" ref="L20" si="70">+L18-L19</f>
        <v>35050.680537337583</v>
      </c>
      <c r="M20" s="26">
        <f t="shared" ref="M20" si="71">+M18-M19</f>
        <v>34974.638382951496</v>
      </c>
      <c r="N20" s="26">
        <f t="shared" ref="N20" si="72">+N18-N19</f>
        <v>34898.761201374924</v>
      </c>
      <c r="O20" s="26">
        <f t="shared" ref="O20" si="73">+O18-O19</f>
        <v>34823.048634700754</v>
      </c>
      <c r="P20" s="26">
        <f t="shared" ref="P20" si="74">+P18-P19</f>
        <v>34747.500325798355</v>
      </c>
      <c r="Q20" s="26">
        <f t="shared" ref="Q20" si="75">+Q18-Q19</f>
        <v>34672.11591831188</v>
      </c>
      <c r="R20" s="26">
        <f t="shared" ref="R20" si="76">+R18-R19</f>
        <v>34596.895056658592</v>
      </c>
      <c r="S20" s="26">
        <f t="shared" ref="S20" si="77">+S18-S19</f>
        <v>34521.837386027197</v>
      </c>
      <c r="T20" s="26">
        <f t="shared" ref="T20" si="78">+T18-T19</f>
        <v>34446.942552376153</v>
      </c>
      <c r="U20" s="26">
        <f t="shared" ref="U20" si="79">+U18-U19</f>
        <v>34372.210202432012</v>
      </c>
      <c r="V20" s="26">
        <f t="shared" ref="V20" si="80">+V18-V19</f>
        <v>34297.639983687754</v>
      </c>
      <c r="W20" s="26">
        <f t="shared" ref="W20" si="81">+W18-W19</f>
        <v>34223.231544401111</v>
      </c>
      <c r="X20" s="26">
        <f t="shared" ref="X20" si="82">+X18-X19</f>
        <v>34148.98453359292</v>
      </c>
      <c r="Y20" s="26">
        <f t="shared" ref="Y20" si="83">+Y18-Y19</f>
        <v>34074.898601045461</v>
      </c>
      <c r="Z20" s="26">
        <f t="shared" ref="Z20" si="84">+Z18-Z19</f>
        <v>34000.973397300819</v>
      </c>
      <c r="AA20" s="26">
        <f t="shared" ref="AA20" si="85">+AA18-AA19</f>
        <v>33927.20857365922</v>
      </c>
      <c r="AB20" s="26">
        <f t="shared" ref="AB20" si="86">+AB18-AB19</f>
        <v>33853.603782177386</v>
      </c>
      <c r="AC20" s="26">
        <f t="shared" ref="AC20" si="87">+AC18-AC19</f>
        <v>33780.158675666898</v>
      </c>
      <c r="AD20" s="26">
        <f t="shared" ref="AD20" si="88">+AD18-AD19</f>
        <v>33706.872907692574</v>
      </c>
      <c r="AE20" s="26">
        <f t="shared" ref="AE20" si="89">+AE18-AE19</f>
        <v>33633.746132570799</v>
      </c>
      <c r="AF20" s="26">
        <f t="shared" ref="AF20" si="90">+AF18-AF19</f>
        <v>33560.778005367931</v>
      </c>
      <c r="AG20" s="26">
        <f t="shared" ref="AG20" si="91">+AG18-AG19</f>
        <v>33487.968181898657</v>
      </c>
      <c r="AH20" s="26">
        <f t="shared" ref="AH20" si="92">+AH18-AH19</f>
        <v>33415.31631872437</v>
      </c>
      <c r="AI20" s="26">
        <f t="shared" ref="AI20" si="93">+AI18-AI19</f>
        <v>33342.822073151547</v>
      </c>
      <c r="AJ20" s="26">
        <f t="shared" ref="AJ20" si="94">+AJ18-AJ19</f>
        <v>33270.48510323013</v>
      </c>
      <c r="AK20" s="26">
        <f t="shared" ref="AK20" si="95">+AK18-AK19</f>
        <v>33198.305067751935</v>
      </c>
      <c r="AL20" s="26">
        <f t="shared" ref="AL20" si="96">+AL18-AL19</f>
        <v>33126.281626249016</v>
      </c>
      <c r="AM20" s="26">
        <f t="shared" ref="AM20" si="97">+AM18-AM19</f>
        <v>33054.414438992069</v>
      </c>
      <c r="AN20" s="26">
        <f t="shared" ref="AN20" si="98">+AN18-AN19</f>
        <v>32982.703166988831</v>
      </c>
      <c r="AO20" s="26">
        <f t="shared" ref="AO20" si="99">+AO18-AO19</f>
        <v>32911.147471982484</v>
      </c>
      <c r="AP20" s="26">
        <f t="shared" ref="AP20" si="100">+AP18-AP19</f>
        <v>32839.747016450048</v>
      </c>
      <c r="AQ20" s="26">
        <f t="shared" ref="AQ20" si="101">+AQ18-AQ19</f>
        <v>32768.501463600798</v>
      </c>
      <c r="AR20" s="26">
        <f t="shared" ref="AR20" si="102">+AR18-AR19</f>
        <v>32697.41047737468</v>
      </c>
      <c r="AS20" s="26">
        <f t="shared" ref="AS20" si="103">+AS18-AS19</f>
        <v>32626.473722440714</v>
      </c>
      <c r="AT20" s="26">
        <f t="shared" ref="AT20" si="104">+AT18-AT19</f>
        <v>32555.690864195418</v>
      </c>
      <c r="AU20" s="26">
        <f t="shared" ref="AU20" si="105">+AU18-AU19</f>
        <v>32485.06156876123</v>
      </c>
      <c r="AV20" s="26">
        <f t="shared" ref="AV20" si="106">+AV18-AV19</f>
        <v>32414.585502984934</v>
      </c>
      <c r="AW20" s="26">
        <f t="shared" ref="AW20" si="107">+AW18-AW19</f>
        <v>32344.262334436084</v>
      </c>
      <c r="AX20" s="26">
        <f t="shared" ref="AX20" si="108">+AX18-AX19</f>
        <v>32274.091731405442</v>
      </c>
      <c r="AY20" s="26">
        <f t="shared" ref="AY20" si="109">+AY18-AY19</f>
        <v>32204.073362903411</v>
      </c>
      <c r="AZ20" s="26">
        <f t="shared" ref="AZ20" si="110">+AZ18-AZ19</f>
        <v>32134.206898658467</v>
      </c>
      <c r="BA20" s="26">
        <f t="shared" ref="BA20" si="111">+BA18-BA19</f>
        <v>32064.492009115616</v>
      </c>
      <c r="BB20" s="26">
        <f t="shared" ref="BB20" si="112">+BB18-BB19</f>
        <v>31994.928365434822</v>
      </c>
      <c r="BC20" s="26">
        <f t="shared" ref="BC20" si="113">+BC18-BC19</f>
        <v>31925.515639489473</v>
      </c>
      <c r="BD20" s="26">
        <f t="shared" ref="BD20" si="114">+BD18-BD19</f>
        <v>31856.253503864817</v>
      </c>
      <c r="BE20" s="26">
        <f t="shared" ref="BE20" si="115">+BE18-BE19</f>
        <v>31787.141631856433</v>
      </c>
      <c r="BF20" s="26">
        <f t="shared" ref="BF20" si="116">+BF18-BF19</f>
        <v>31718.179697468677</v>
      </c>
      <c r="BG20" s="26">
        <f t="shared" ref="BG20" si="117">+BG18-BG19</f>
        <v>31649.367375413152</v>
      </c>
      <c r="BH20" s="26">
        <f t="shared" ref="BH20" si="118">+BH18-BH19</f>
        <v>31580.704341107172</v>
      </c>
      <c r="BI20" s="26">
        <f t="shared" ref="BI20" si="119">+BI18-BI19</f>
        <v>31512.190270672229</v>
      </c>
      <c r="BJ20" s="26">
        <f t="shared" ref="BJ20" si="120">+BJ18-BJ19</f>
        <v>31443.824840932466</v>
      </c>
      <c r="BK20" s="26">
        <f t="shared" ref="BK20" si="121">+BK18-BK19</f>
        <v>31375.607729413154</v>
      </c>
      <c r="BL20" s="26">
        <f t="shared" ref="BL20" si="122">+BL18-BL19</f>
        <v>31307.538614339173</v>
      </c>
      <c r="BM20" s="26">
        <f t="shared" ref="BM20" si="123">+BM18-BM19</f>
        <v>31239.617174633488</v>
      </c>
      <c r="BN20" s="26">
        <f t="shared" ref="BN20" si="124">+BN18-BN19</f>
        <v>31171.843089915637</v>
      </c>
      <c r="BO20" s="26">
        <f t="shared" ref="BO20" si="125">+BO18-BO19</f>
        <v>31104.216040500229</v>
      </c>
      <c r="BP20" s="26"/>
    </row>
    <row r="21" spans="1:68" ht="15">
      <c r="A21" s="1" t="s">
        <v>56</v>
      </c>
      <c r="B21" s="11">
        <v>300</v>
      </c>
      <c r="D21" s="18" t="s">
        <v>52</v>
      </c>
      <c r="E21" s="26">
        <f>+((E20*$B$20)*7)/1000</f>
        <v>27073.641659471188</v>
      </c>
      <c r="F21" s="26">
        <f t="shared" ref="F21:BO21" si="126">+((F20*$B$20)*7)/1000</f>
        <v>27014.905623328606</v>
      </c>
      <c r="G21" s="26">
        <f t="shared" si="126"/>
        <v>26956.297014518674</v>
      </c>
      <c r="H21" s="26">
        <f t="shared" si="126"/>
        <v>26897.81555658887</v>
      </c>
      <c r="I21" s="26">
        <f t="shared" si="126"/>
        <v>26839.46097368644</v>
      </c>
      <c r="J21" s="26">
        <f t="shared" si="126"/>
        <v>26781.232990557084</v>
      </c>
      <c r="K21" s="26">
        <f t="shared" si="126"/>
        <v>26723.131332543679</v>
      </c>
      <c r="L21" s="26">
        <f t="shared" si="126"/>
        <v>26665.15572558494</v>
      </c>
      <c r="M21" s="26">
        <f t="shared" si="126"/>
        <v>26607.305896214184</v>
      </c>
      <c r="N21" s="26">
        <f t="shared" si="126"/>
        <v>26549.581571557988</v>
      </c>
      <c r="O21" s="26">
        <f t="shared" si="126"/>
        <v>26491.982479334947</v>
      </c>
      <c r="P21" s="26">
        <f t="shared" si="126"/>
        <v>26434.50834785436</v>
      </c>
      <c r="Q21" s="26">
        <f t="shared" si="126"/>
        <v>26377.158906014945</v>
      </c>
      <c r="R21" s="26">
        <f t="shared" si="126"/>
        <v>26319.933883303594</v>
      </c>
      <c r="S21" s="26">
        <f t="shared" si="126"/>
        <v>26262.833009794052</v>
      </c>
      <c r="T21" s="26">
        <f t="shared" si="126"/>
        <v>26205.856016145684</v>
      </c>
      <c r="U21" s="26">
        <f t="shared" si="126"/>
        <v>26149.00263360218</v>
      </c>
      <c r="V21" s="26">
        <f t="shared" si="126"/>
        <v>26092.272593990296</v>
      </c>
      <c r="W21" s="26">
        <f t="shared" si="126"/>
        <v>26035.665629718591</v>
      </c>
      <c r="X21" s="26">
        <f t="shared" si="126"/>
        <v>25979.181473776152</v>
      </c>
      <c r="Y21" s="26">
        <f t="shared" si="126"/>
        <v>25922.819859731346</v>
      </c>
      <c r="Z21" s="26">
        <f t="shared" si="126"/>
        <v>25866.580521730571</v>
      </c>
      <c r="AA21" s="26">
        <f t="shared" si="126"/>
        <v>25810.463194496988</v>
      </c>
      <c r="AB21" s="26">
        <f t="shared" si="126"/>
        <v>25754.467613329274</v>
      </c>
      <c r="AC21" s="26">
        <f t="shared" si="126"/>
        <v>25698.59351410035</v>
      </c>
      <c r="AD21" s="26">
        <f t="shared" si="126"/>
        <v>25642.840633256204</v>
      </c>
      <c r="AE21" s="26">
        <f t="shared" si="126"/>
        <v>25587.208707814563</v>
      </c>
      <c r="AF21" s="26">
        <f t="shared" si="126"/>
        <v>25531.697475363708</v>
      </c>
      <c r="AG21" s="26">
        <f t="shared" si="126"/>
        <v>25476.306674061223</v>
      </c>
      <c r="AH21" s="26">
        <f t="shared" si="126"/>
        <v>25421.03604263275</v>
      </c>
      <c r="AI21" s="26">
        <f t="shared" si="126"/>
        <v>25365.885320370773</v>
      </c>
      <c r="AJ21" s="26">
        <f t="shared" si="126"/>
        <v>25310.854247133357</v>
      </c>
      <c r="AK21" s="26">
        <f t="shared" si="126"/>
        <v>25255.942563342964</v>
      </c>
      <c r="AL21" s="26">
        <f t="shared" si="126"/>
        <v>25201.150009985206</v>
      </c>
      <c r="AM21" s="26">
        <f t="shared" si="126"/>
        <v>25146.476328607612</v>
      </c>
      <c r="AN21" s="26">
        <f t="shared" si="126"/>
        <v>25091.921261318425</v>
      </c>
      <c r="AO21" s="26">
        <f t="shared" si="126"/>
        <v>25037.484550785397</v>
      </c>
      <c r="AP21" s="26">
        <f t="shared" si="126"/>
        <v>24983.165940234543</v>
      </c>
      <c r="AQ21" s="26">
        <f t="shared" si="126"/>
        <v>24928.965173448945</v>
      </c>
      <c r="AR21" s="26">
        <f t="shared" si="126"/>
        <v>24874.881994767566</v>
      </c>
      <c r="AS21" s="26">
        <f t="shared" si="126"/>
        <v>24820.916149083998</v>
      </c>
      <c r="AT21" s="26">
        <f t="shared" si="126"/>
        <v>24767.067381845307</v>
      </c>
      <c r="AU21" s="26">
        <f t="shared" si="126"/>
        <v>24713.335439050792</v>
      </c>
      <c r="AV21" s="26">
        <f t="shared" si="126"/>
        <v>24659.720067250819</v>
      </c>
      <c r="AW21" s="26">
        <f t="shared" si="126"/>
        <v>24606.221013545597</v>
      </c>
      <c r="AX21" s="26">
        <f t="shared" si="126"/>
        <v>24552.838025584006</v>
      </c>
      <c r="AY21" s="26">
        <f t="shared" si="126"/>
        <v>24499.570851562399</v>
      </c>
      <c r="AZ21" s="26">
        <f t="shared" si="126"/>
        <v>24446.419240223418</v>
      </c>
      <c r="BA21" s="26">
        <f t="shared" si="126"/>
        <v>24393.382940854797</v>
      </c>
      <c r="BB21" s="26">
        <f t="shared" si="126"/>
        <v>24340.461703288198</v>
      </c>
      <c r="BC21" s="26">
        <f t="shared" si="126"/>
        <v>24287.655277898015</v>
      </c>
      <c r="BD21" s="26">
        <f t="shared" si="126"/>
        <v>24234.963415600199</v>
      </c>
      <c r="BE21" s="26">
        <f t="shared" si="126"/>
        <v>24182.385867851102</v>
      </c>
      <c r="BF21" s="26">
        <f t="shared" si="126"/>
        <v>24129.922386646271</v>
      </c>
      <c r="BG21" s="26">
        <f t="shared" si="126"/>
        <v>24077.572724519312</v>
      </c>
      <c r="BH21" s="26">
        <f t="shared" si="126"/>
        <v>24025.33663454069</v>
      </c>
      <c r="BI21" s="26">
        <f t="shared" si="126"/>
        <v>23973.213870316606</v>
      </c>
      <c r="BJ21" s="26">
        <f t="shared" si="126"/>
        <v>23921.204185987786</v>
      </c>
      <c r="BK21" s="26">
        <f t="shared" si="126"/>
        <v>23869.30733622835</v>
      </c>
      <c r="BL21" s="26">
        <f t="shared" si="126"/>
        <v>23817.52307624467</v>
      </c>
      <c r="BM21" s="26">
        <f t="shared" si="126"/>
        <v>23765.851161774175</v>
      </c>
      <c r="BN21" s="26">
        <f t="shared" si="126"/>
        <v>23714.291349084226</v>
      </c>
      <c r="BO21" s="26">
        <f t="shared" si="126"/>
        <v>23662.843394970954</v>
      </c>
      <c r="BP21" s="26">
        <f>+SUM(E21:BO21)</f>
        <v>1595827.66843805</v>
      </c>
    </row>
    <row r="22" spans="1:68" ht="15">
      <c r="C22">
        <v>1</v>
      </c>
      <c r="D22" s="18" t="s">
        <v>97</v>
      </c>
      <c r="E22" s="26">
        <f>+((E18*$B$19)*7)*$C$22</f>
        <v>200335.65474999999</v>
      </c>
      <c r="F22" s="26">
        <f t="shared" ref="F22:BO22" si="127">+((F18*$B$19)*7)*$C$22</f>
        <v>199901.02824477965</v>
      </c>
      <c r="G22" s="26">
        <f t="shared" si="127"/>
        <v>199467.34465807912</v>
      </c>
      <c r="H22" s="26">
        <f t="shared" si="127"/>
        <v>199034.60194424467</v>
      </c>
      <c r="I22" s="26">
        <f t="shared" si="127"/>
        <v>198602.79806206052</v>
      </c>
      <c r="J22" s="26">
        <f t="shared" si="127"/>
        <v>198171.93097473946</v>
      </c>
      <c r="K22" s="26">
        <f t="shared" si="127"/>
        <v>197741.99864991289</v>
      </c>
      <c r="L22" s="26">
        <f t="shared" si="127"/>
        <v>197312.99905962156</v>
      </c>
      <c r="M22" s="26">
        <f t="shared" si="127"/>
        <v>196884.93018030582</v>
      </c>
      <c r="N22" s="26">
        <f t="shared" si="127"/>
        <v>196457.789992796</v>
      </c>
      <c r="O22" s="26">
        <f t="shared" si="127"/>
        <v>196031.57648230315</v>
      </c>
      <c r="P22" s="26">
        <f t="shared" si="127"/>
        <v>195606.28763840933</v>
      </c>
      <c r="Q22" s="26">
        <f t="shared" si="127"/>
        <v>195181.92145505824</v>
      </c>
      <c r="R22" s="26">
        <f t="shared" si="127"/>
        <v>194758.47593054557</v>
      </c>
      <c r="S22" s="26">
        <f t="shared" si="127"/>
        <v>194335.94906750979</v>
      </c>
      <c r="T22" s="26">
        <f t="shared" si="127"/>
        <v>193914.33887292267</v>
      </c>
      <c r="U22" s="26">
        <f t="shared" si="127"/>
        <v>193493.64335807969</v>
      </c>
      <c r="V22" s="26">
        <f t="shared" si="127"/>
        <v>193073.86053859096</v>
      </c>
      <c r="W22" s="26">
        <f t="shared" si="127"/>
        <v>192654.98843437165</v>
      </c>
      <c r="X22" s="26">
        <f t="shared" si="127"/>
        <v>192237.02506963268</v>
      </c>
      <c r="Y22" s="26">
        <f t="shared" si="127"/>
        <v>191819.96847287146</v>
      </c>
      <c r="Z22" s="26">
        <f t="shared" si="127"/>
        <v>191403.81667686251</v>
      </c>
      <c r="AA22" s="26">
        <f t="shared" si="127"/>
        <v>190988.56771864829</v>
      </c>
      <c r="AB22" s="26">
        <f t="shared" si="127"/>
        <v>190574.21963952988</v>
      </c>
      <c r="AC22" s="26">
        <f t="shared" si="127"/>
        <v>190160.7704850577</v>
      </c>
      <c r="AD22" s="26">
        <f t="shared" si="127"/>
        <v>189748.21830502234</v>
      </c>
      <c r="AE22" s="26">
        <f t="shared" si="127"/>
        <v>189336.56115344533</v>
      </c>
      <c r="AF22" s="26">
        <f t="shared" si="127"/>
        <v>188925.79708857008</v>
      </c>
      <c r="AG22" s="26">
        <f t="shared" si="127"/>
        <v>188515.92417285245</v>
      </c>
      <c r="AH22" s="26">
        <f t="shared" si="127"/>
        <v>188106.94047295203</v>
      </c>
      <c r="AI22" s="26">
        <f t="shared" si="127"/>
        <v>187698.84405972259</v>
      </c>
      <c r="AJ22" s="26">
        <f t="shared" si="127"/>
        <v>187291.63300820324</v>
      </c>
      <c r="AK22" s="26">
        <f t="shared" si="127"/>
        <v>186885.30539760913</v>
      </c>
      <c r="AL22" s="26">
        <f t="shared" si="127"/>
        <v>186479.85931132277</v>
      </c>
      <c r="AM22" s="26">
        <f t="shared" si="127"/>
        <v>186075.29283688465</v>
      </c>
      <c r="AN22" s="26">
        <f t="shared" si="127"/>
        <v>185671.60406598428</v>
      </c>
      <c r="AO22" s="26">
        <f t="shared" si="127"/>
        <v>185268.79109445133</v>
      </c>
      <c r="AP22" s="26">
        <f t="shared" si="127"/>
        <v>184866.8520222464</v>
      </c>
      <c r="AQ22" s="26">
        <f t="shared" si="127"/>
        <v>184465.78495345238</v>
      </c>
      <c r="AR22" s="26">
        <f t="shared" si="127"/>
        <v>184065.58799626521</v>
      </c>
      <c r="AS22" s="26">
        <f t="shared" si="127"/>
        <v>183666.2592629852</v>
      </c>
      <c r="AT22" s="26">
        <f t="shared" si="127"/>
        <v>183267.79687000785</v>
      </c>
      <c r="AU22" s="26">
        <f t="shared" si="127"/>
        <v>182870.19893781529</v>
      </c>
      <c r="AV22" s="26">
        <f t="shared" si="127"/>
        <v>182473.46359096715</v>
      </c>
      <c r="AW22" s="26">
        <f t="shared" si="127"/>
        <v>182077.58895809183</v>
      </c>
      <c r="AX22" s="26">
        <f t="shared" si="127"/>
        <v>181682.57317187765</v>
      </c>
      <c r="AY22" s="26">
        <f t="shared" si="127"/>
        <v>181288.41436906409</v>
      </c>
      <c r="AZ22" s="26">
        <f t="shared" si="127"/>
        <v>180895.11069043289</v>
      </c>
      <c r="BA22" s="26">
        <f t="shared" si="127"/>
        <v>180502.66028079941</v>
      </c>
      <c r="BB22" s="26">
        <f t="shared" si="127"/>
        <v>180111.06128900379</v>
      </c>
      <c r="BC22" s="26">
        <f t="shared" si="127"/>
        <v>179720.3118679022</v>
      </c>
      <c r="BD22" s="26">
        <f t="shared" si="127"/>
        <v>179330.41017435829</v>
      </c>
      <c r="BE22" s="26">
        <f t="shared" si="127"/>
        <v>178941.35436923424</v>
      </c>
      <c r="BF22" s="26">
        <f t="shared" si="127"/>
        <v>178553.14261738237</v>
      </c>
      <c r="BG22" s="26">
        <f t="shared" si="127"/>
        <v>178165.77308763619</v>
      </c>
      <c r="BH22" s="26">
        <f t="shared" si="127"/>
        <v>177779.24395280197</v>
      </c>
      <c r="BI22" s="26">
        <f t="shared" si="127"/>
        <v>177393.55338965013</v>
      </c>
      <c r="BJ22" s="26">
        <f t="shared" si="127"/>
        <v>177008.69957890653</v>
      </c>
      <c r="BK22" s="26">
        <f t="shared" si="127"/>
        <v>176624.68070524381</v>
      </c>
      <c r="BL22" s="26">
        <f t="shared" si="127"/>
        <v>176241.4949572731</v>
      </c>
      <c r="BM22" s="26">
        <f t="shared" si="127"/>
        <v>175859.14052753529</v>
      </c>
      <c r="BN22" s="26">
        <f t="shared" si="127"/>
        <v>175477.61561249249</v>
      </c>
      <c r="BO22" s="26">
        <f t="shared" si="127"/>
        <v>175096.91841251962</v>
      </c>
      <c r="BP22" s="26">
        <f>+SUM(E22:BO22)</f>
        <v>11808576.948969899</v>
      </c>
    </row>
    <row r="23" spans="1:68" ht="15">
      <c r="D23" s="18" t="s">
        <v>98</v>
      </c>
      <c r="E23" s="26">
        <f>+(E22*$B$18)/1000</f>
        <v>12424.817307595</v>
      </c>
      <c r="F23" s="26">
        <f t="shared" ref="F23:BO23" si="128">+(F22*$B$18)/1000</f>
        <v>12397.861771741234</v>
      </c>
      <c r="G23" s="26">
        <f>+(G22*$B$18)/1000</f>
        <v>12370.964715694068</v>
      </c>
      <c r="H23" s="26">
        <f t="shared" si="128"/>
        <v>12344.126012582054</v>
      </c>
      <c r="I23" s="26">
        <f t="shared" si="128"/>
        <v>12317.345535808994</v>
      </c>
      <c r="J23" s="26">
        <f t="shared" si="128"/>
        <v>12290.623159053343</v>
      </c>
      <c r="K23" s="26">
        <f t="shared" si="128"/>
        <v>12263.958756267599</v>
      </c>
      <c r="L23" s="26">
        <f t="shared" si="128"/>
        <v>12237.35220167773</v>
      </c>
      <c r="M23" s="26">
        <f t="shared" si="128"/>
        <v>12210.803369782567</v>
      </c>
      <c r="N23" s="26">
        <f t="shared" si="128"/>
        <v>12184.312135353208</v>
      </c>
      <c r="O23" s="26">
        <f t="shared" si="128"/>
        <v>12157.878373432442</v>
      </c>
      <c r="P23" s="26">
        <f t="shared" si="128"/>
        <v>12131.501959334146</v>
      </c>
      <c r="Q23" s="26">
        <f t="shared" si="128"/>
        <v>12105.182768642713</v>
      </c>
      <c r="R23" s="26">
        <f t="shared" si="128"/>
        <v>12078.920677212436</v>
      </c>
      <c r="S23" s="26">
        <f t="shared" si="128"/>
        <v>12052.715561166957</v>
      </c>
      <c r="T23" s="26">
        <f t="shared" si="128"/>
        <v>12026.567296898666</v>
      </c>
      <c r="U23" s="26">
        <f t="shared" si="128"/>
        <v>12000.475761068103</v>
      </c>
      <c r="V23" s="26">
        <f t="shared" si="128"/>
        <v>11974.440830603411</v>
      </c>
      <c r="W23" s="26">
        <f t="shared" si="128"/>
        <v>11948.46238269973</v>
      </c>
      <c r="X23" s="26">
        <f t="shared" si="128"/>
        <v>11922.54029481862</v>
      </c>
      <c r="Y23" s="26">
        <f t="shared" si="128"/>
        <v>11896.674444687489</v>
      </c>
      <c r="Z23" s="26">
        <f t="shared" si="128"/>
        <v>11870.864710299013</v>
      </c>
      <c r="AA23" s="26">
        <f t="shared" si="128"/>
        <v>11845.110969910567</v>
      </c>
      <c r="AB23" s="26">
        <f t="shared" si="128"/>
        <v>11819.413102043643</v>
      </c>
      <c r="AC23" s="26">
        <f t="shared" si="128"/>
        <v>11793.770985483279</v>
      </c>
      <c r="AD23" s="26">
        <f t="shared" si="128"/>
        <v>11768.184499277486</v>
      </c>
      <c r="AE23" s="26">
        <f t="shared" si="128"/>
        <v>11742.65352273668</v>
      </c>
      <c r="AF23" s="26">
        <f t="shared" si="128"/>
        <v>11717.177935433117</v>
      </c>
      <c r="AG23" s="26">
        <f t="shared" si="128"/>
        <v>11691.75761720031</v>
      </c>
      <c r="AH23" s="26">
        <f t="shared" si="128"/>
        <v>11666.392448132485</v>
      </c>
      <c r="AI23" s="26">
        <f t="shared" si="128"/>
        <v>11641.082308583995</v>
      </c>
      <c r="AJ23" s="26">
        <f t="shared" si="128"/>
        <v>11615.827079168765</v>
      </c>
      <c r="AK23" s="26">
        <f t="shared" si="128"/>
        <v>11590.62664075972</v>
      </c>
      <c r="AL23" s="26">
        <f t="shared" si="128"/>
        <v>11565.480874488238</v>
      </c>
      <c r="AM23" s="26">
        <f t="shared" si="128"/>
        <v>11540.389661743588</v>
      </c>
      <c r="AN23" s="26">
        <f t="shared" si="128"/>
        <v>11515.352884172347</v>
      </c>
      <c r="AO23" s="26">
        <f t="shared" si="128"/>
        <v>11490.37042367787</v>
      </c>
      <c r="AP23" s="26">
        <f t="shared" si="128"/>
        <v>11465.442162419722</v>
      </c>
      <c r="AQ23" s="26">
        <f t="shared" si="128"/>
        <v>11440.567982813118</v>
      </c>
      <c r="AR23" s="26">
        <f t="shared" si="128"/>
        <v>11415.747767528368</v>
      </c>
      <c r="AS23" s="26">
        <f t="shared" si="128"/>
        <v>11390.981399490343</v>
      </c>
      <c r="AT23" s="26">
        <f t="shared" si="128"/>
        <v>11366.268761877887</v>
      </c>
      <c r="AU23" s="26">
        <f t="shared" si="128"/>
        <v>11341.609738123305</v>
      </c>
      <c r="AV23" s="26">
        <f t="shared" si="128"/>
        <v>11317.004211911782</v>
      </c>
      <c r="AW23" s="26">
        <f t="shared" si="128"/>
        <v>11292.452067180855</v>
      </c>
      <c r="AX23" s="26">
        <f t="shared" si="128"/>
        <v>11267.953188119853</v>
      </c>
      <c r="AY23" s="26">
        <f t="shared" si="128"/>
        <v>11243.507459169356</v>
      </c>
      <c r="AZ23" s="26">
        <f t="shared" si="128"/>
        <v>11219.114765020648</v>
      </c>
      <c r="BA23" s="26">
        <f t="shared" si="128"/>
        <v>11194.77499061518</v>
      </c>
      <c r="BB23" s="26">
        <f t="shared" si="128"/>
        <v>11170.488021144016</v>
      </c>
      <c r="BC23" s="26">
        <f t="shared" si="128"/>
        <v>11146.253742047295</v>
      </c>
      <c r="BD23" s="26">
        <f t="shared" si="128"/>
        <v>11122.072039013703</v>
      </c>
      <c r="BE23" s="26">
        <f t="shared" si="128"/>
        <v>11097.942797979907</v>
      </c>
      <c r="BF23" s="26">
        <f t="shared" si="128"/>
        <v>11073.865905130055</v>
      </c>
      <c r="BG23" s="26">
        <f t="shared" si="128"/>
        <v>11049.841246895197</v>
      </c>
      <c r="BH23" s="26">
        <f t="shared" si="128"/>
        <v>11025.86870995278</v>
      </c>
      <c r="BI23" s="26">
        <f t="shared" si="128"/>
        <v>11001.9481812261</v>
      </c>
      <c r="BJ23" s="26">
        <f t="shared" si="128"/>
        <v>10978.079547883783</v>
      </c>
      <c r="BK23" s="26">
        <f t="shared" si="128"/>
        <v>10954.262697339222</v>
      </c>
      <c r="BL23" s="26">
        <f t="shared" si="128"/>
        <v>10930.497517250078</v>
      </c>
      <c r="BM23" s="26">
        <f t="shared" si="128"/>
        <v>10906.783895517739</v>
      </c>
      <c r="BN23" s="26">
        <f t="shared" si="128"/>
        <v>10883.121720286785</v>
      </c>
      <c r="BO23" s="26">
        <f t="shared" si="128"/>
        <v>10859.510879944468</v>
      </c>
      <c r="BP23" s="26">
        <f>+SUM(E23:BO23)</f>
        <v>732367.94237511326</v>
      </c>
    </row>
    <row r="24" spans="1:68" ht="15">
      <c r="C24">
        <v>1</v>
      </c>
      <c r="D24" s="18" t="s">
        <v>99</v>
      </c>
      <c r="E24" s="28">
        <f>+(E21*$B$21)*$C$24</f>
        <v>8122092.4978413563</v>
      </c>
      <c r="F24" s="28">
        <f t="shared" ref="F24:BO24" si="129">+(F21*$B$21)*$C$24</f>
        <v>8104471.6869985815</v>
      </c>
      <c r="G24" s="28">
        <f t="shared" si="129"/>
        <v>8086889.1043556025</v>
      </c>
      <c r="H24" s="28">
        <f t="shared" si="129"/>
        <v>8069344.6669766614</v>
      </c>
      <c r="I24" s="28">
        <f t="shared" si="129"/>
        <v>8051838.2921059318</v>
      </c>
      <c r="J24" s="28">
        <f t="shared" si="129"/>
        <v>8034369.8971671248</v>
      </c>
      <c r="K24" s="28">
        <f t="shared" si="129"/>
        <v>8016939.3997631036</v>
      </c>
      <c r="L24" s="28">
        <f t="shared" si="129"/>
        <v>7999546.7176754819</v>
      </c>
      <c r="M24" s="28">
        <f t="shared" si="129"/>
        <v>7982191.7688642554</v>
      </c>
      <c r="N24" s="28">
        <f t="shared" si="129"/>
        <v>7964874.4714673962</v>
      </c>
      <c r="O24" s="28">
        <f t="shared" si="129"/>
        <v>7947594.7438004846</v>
      </c>
      <c r="P24" s="28">
        <f t="shared" si="129"/>
        <v>7930352.5043563079</v>
      </c>
      <c r="Q24" s="28">
        <f t="shared" si="129"/>
        <v>7913147.671804484</v>
      </c>
      <c r="R24" s="28">
        <f t="shared" si="129"/>
        <v>7895980.164991078</v>
      </c>
      <c r="S24" s="28">
        <f t="shared" si="129"/>
        <v>7878849.902938216</v>
      </c>
      <c r="T24" s="28">
        <f t="shared" si="129"/>
        <v>7861756.8048437051</v>
      </c>
      <c r="U24" s="28">
        <f t="shared" si="129"/>
        <v>7844700.7900806544</v>
      </c>
      <c r="V24" s="28">
        <f t="shared" si="129"/>
        <v>7827681.7781970883</v>
      </c>
      <c r="W24" s="28">
        <f t="shared" si="129"/>
        <v>7810699.6889155777</v>
      </c>
      <c r="X24" s="28">
        <f t="shared" si="129"/>
        <v>7793754.4421328455</v>
      </c>
      <c r="Y24" s="28">
        <f t="shared" si="129"/>
        <v>7776845.9579194039</v>
      </c>
      <c r="Z24" s="28">
        <f t="shared" si="129"/>
        <v>7759974.1565191718</v>
      </c>
      <c r="AA24" s="28">
        <f t="shared" si="129"/>
        <v>7743138.9583490966</v>
      </c>
      <c r="AB24" s="28">
        <f t="shared" si="129"/>
        <v>7726340.2839987818</v>
      </c>
      <c r="AC24" s="28">
        <f t="shared" si="129"/>
        <v>7709578.0542301051</v>
      </c>
      <c r="AD24" s="28">
        <f t="shared" si="129"/>
        <v>7692852.1899768617</v>
      </c>
      <c r="AE24" s="28">
        <f t="shared" si="129"/>
        <v>7676162.6123443693</v>
      </c>
      <c r="AF24" s="28">
        <f t="shared" si="129"/>
        <v>7659509.2426091125</v>
      </c>
      <c r="AG24" s="28">
        <f t="shared" si="129"/>
        <v>7642892.0022183666</v>
      </c>
      <c r="AH24" s="28">
        <f t="shared" si="129"/>
        <v>7626310.8127898248</v>
      </c>
      <c r="AI24" s="28">
        <f t="shared" si="129"/>
        <v>7609765.5961112315</v>
      </c>
      <c r="AJ24" s="28">
        <f t="shared" si="129"/>
        <v>7593256.2741400069</v>
      </c>
      <c r="AK24" s="28">
        <f t="shared" si="129"/>
        <v>7576782.7690028893</v>
      </c>
      <c r="AL24" s="28">
        <f t="shared" si="129"/>
        <v>7560345.0029955618</v>
      </c>
      <c r="AM24" s="28">
        <f t="shared" si="129"/>
        <v>7543942.8985822834</v>
      </c>
      <c r="AN24" s="28">
        <f t="shared" si="129"/>
        <v>7527576.3783955276</v>
      </c>
      <c r="AO24" s="28">
        <f t="shared" si="129"/>
        <v>7511245.3652356192</v>
      </c>
      <c r="AP24" s="28">
        <f t="shared" si="129"/>
        <v>7494949.7820703629</v>
      </c>
      <c r="AQ24" s="28">
        <f t="shared" si="129"/>
        <v>7478689.5520346835</v>
      </c>
      <c r="AR24" s="28">
        <f t="shared" si="129"/>
        <v>7462464.5984302694</v>
      </c>
      <c r="AS24" s="28">
        <f t="shared" si="129"/>
        <v>7446274.844725199</v>
      </c>
      <c r="AT24" s="28">
        <f t="shared" si="129"/>
        <v>7430120.2145535918</v>
      </c>
      <c r="AU24" s="28">
        <f t="shared" si="129"/>
        <v>7414000.6317152372</v>
      </c>
      <c r="AV24" s="28">
        <f t="shared" si="129"/>
        <v>7397916.0201752456</v>
      </c>
      <c r="AW24" s="28">
        <f t="shared" si="129"/>
        <v>7381866.3040636787</v>
      </c>
      <c r="AX24" s="28">
        <f t="shared" si="129"/>
        <v>7365851.407675202</v>
      </c>
      <c r="AY24" s="28">
        <f t="shared" si="129"/>
        <v>7349871.2554687196</v>
      </c>
      <c r="AZ24" s="28">
        <f t="shared" si="129"/>
        <v>7333925.7720670253</v>
      </c>
      <c r="BA24" s="28">
        <f t="shared" si="129"/>
        <v>7318014.882256439</v>
      </c>
      <c r="BB24" s="28">
        <f t="shared" si="129"/>
        <v>7302138.5109864594</v>
      </c>
      <c r="BC24" s="28">
        <f t="shared" si="129"/>
        <v>7286296.5833694041</v>
      </c>
      <c r="BD24" s="28">
        <f t="shared" si="129"/>
        <v>7270489.0246800594</v>
      </c>
      <c r="BE24" s="28">
        <f t="shared" si="129"/>
        <v>7254715.760355331</v>
      </c>
      <c r="BF24" s="28">
        <f t="shared" si="129"/>
        <v>7238976.7159938812</v>
      </c>
      <c r="BG24" s="28">
        <f t="shared" si="129"/>
        <v>7223271.8173557939</v>
      </c>
      <c r="BH24" s="28">
        <f t="shared" si="129"/>
        <v>7207600.9903622074</v>
      </c>
      <c r="BI24" s="28">
        <f t="shared" si="129"/>
        <v>7191964.1610949812</v>
      </c>
      <c r="BJ24" s="28">
        <f t="shared" si="129"/>
        <v>7176361.2557963356</v>
      </c>
      <c r="BK24" s="28">
        <f t="shared" si="129"/>
        <v>7160792.2008685051</v>
      </c>
      <c r="BL24" s="28">
        <f t="shared" si="129"/>
        <v>7145256.9228734011</v>
      </c>
      <c r="BM24" s="28">
        <f t="shared" si="129"/>
        <v>7129755.3485322529</v>
      </c>
      <c r="BN24" s="28">
        <f t="shared" si="129"/>
        <v>7114287.4047252676</v>
      </c>
      <c r="BO24" s="28">
        <f t="shared" si="129"/>
        <v>7098853.0184912859</v>
      </c>
      <c r="BP24" s="28">
        <f>+SUM(E24:BO24)</f>
        <v>478748300.53141499</v>
      </c>
    </row>
    <row r="26" spans="1:68" ht="15">
      <c r="D26" t="s">
        <v>100</v>
      </c>
      <c r="H26" s="10">
        <f>(SUM(E24:H24))</f>
        <v>32382797.956172202</v>
      </c>
      <c r="L26" s="10">
        <f>(SUM(I24:L24))</f>
        <v>32102694.30671164</v>
      </c>
      <c r="P26" s="10">
        <f>(SUM(M24:P24))</f>
        <v>31825013.488488443</v>
      </c>
      <c r="T26" s="10">
        <f>(SUM(Q24:T24))</f>
        <v>31549734.544577483</v>
      </c>
      <c r="X26" s="10">
        <f>(SUM(U24:X24))</f>
        <v>31276836.699326165</v>
      </c>
      <c r="AB26" s="10">
        <f>(SUM(Y24:AB24))</f>
        <v>31006299.356786452</v>
      </c>
      <c r="AF26" s="10">
        <f>(SUM(AC24:AF24))</f>
        <v>30738102.099160448</v>
      </c>
      <c r="AJ26" s="10">
        <f>(SUM(AG24:AJ24))</f>
        <v>30472224.685259432</v>
      </c>
      <c r="AN26" s="10">
        <f>(SUM(AK24:AN24))</f>
        <v>30208647.048976261</v>
      </c>
      <c r="AR26" s="10">
        <f>(SUM(AO24:AR24))</f>
        <v>29947349.297770932</v>
      </c>
      <c r="AV26" s="10">
        <f>(SUM(AS24:AV24))</f>
        <v>29688311.711169273</v>
      </c>
      <c r="AZ26" s="10">
        <f>(SUM(AW24:AZ24))</f>
        <v>29431514.739274625</v>
      </c>
    </row>
    <row r="27" spans="1:68" ht="15">
      <c r="D27" t="s">
        <v>101</v>
      </c>
      <c r="E27" s="10">
        <f>(AVERAGE(H26:AZ26))</f>
        <v>30885793.827806115</v>
      </c>
    </row>
    <row r="28" spans="1:68" ht="15">
      <c r="E28" s="10"/>
    </row>
    <row r="29" spans="1:68" ht="21">
      <c r="C29" s="70" t="s">
        <v>103</v>
      </c>
      <c r="E29" s="10"/>
    </row>
    <row r="30" spans="1:68" ht="15">
      <c r="A30" s="1" t="s">
        <v>89</v>
      </c>
      <c r="B30" t="s">
        <v>27</v>
      </c>
    </row>
    <row r="31" spans="1:68" ht="15">
      <c r="A31" s="1" t="s">
        <v>90</v>
      </c>
      <c r="B31" s="1">
        <v>36026</v>
      </c>
      <c r="C31" s="1"/>
    </row>
    <row r="32" spans="1:68" ht="15">
      <c r="A32" s="1" t="s">
        <v>91</v>
      </c>
      <c r="B32" s="23">
        <v>0.05</v>
      </c>
      <c r="C32" s="20">
        <f>+B32/62</f>
        <v>8.0645161290322581E-4</v>
      </c>
      <c r="D32" s="18" t="s">
        <v>48</v>
      </c>
      <c r="E32" s="24">
        <v>18</v>
      </c>
      <c r="F32" s="24">
        <v>19</v>
      </c>
      <c r="G32" s="24">
        <v>20</v>
      </c>
      <c r="H32" s="24">
        <v>21</v>
      </c>
      <c r="I32" s="24">
        <v>22</v>
      </c>
      <c r="J32" s="24">
        <v>23</v>
      </c>
      <c r="K32" s="24">
        <v>24</v>
      </c>
      <c r="L32" s="24">
        <v>25</v>
      </c>
      <c r="M32" s="24">
        <v>26</v>
      </c>
      <c r="N32" s="24">
        <v>27</v>
      </c>
      <c r="O32" s="24">
        <v>28</v>
      </c>
      <c r="P32" s="24">
        <v>29</v>
      </c>
      <c r="Q32" s="24">
        <v>30</v>
      </c>
      <c r="R32" s="24">
        <v>31</v>
      </c>
      <c r="S32" s="24">
        <v>32</v>
      </c>
      <c r="T32" s="24">
        <v>33</v>
      </c>
      <c r="U32" s="24">
        <v>34</v>
      </c>
      <c r="V32" s="24">
        <v>35</v>
      </c>
      <c r="W32" s="24">
        <v>36</v>
      </c>
      <c r="X32" s="24">
        <v>37</v>
      </c>
      <c r="Y32" s="24">
        <v>38</v>
      </c>
      <c r="Z32" s="24">
        <v>39</v>
      </c>
      <c r="AA32" s="24">
        <v>40</v>
      </c>
      <c r="AB32" s="24">
        <v>41</v>
      </c>
      <c r="AC32" s="24">
        <v>42</v>
      </c>
      <c r="AD32" s="24">
        <v>43</v>
      </c>
      <c r="AE32" s="24">
        <v>44</v>
      </c>
      <c r="AF32" s="24">
        <v>45</v>
      </c>
      <c r="AG32" s="24">
        <v>46</v>
      </c>
      <c r="AH32" s="24">
        <v>47</v>
      </c>
      <c r="AI32" s="24">
        <v>48</v>
      </c>
      <c r="AJ32" s="24">
        <v>49</v>
      </c>
      <c r="AK32" s="24">
        <v>50</v>
      </c>
      <c r="AL32" s="24">
        <v>51</v>
      </c>
      <c r="AM32" s="24">
        <v>52</v>
      </c>
      <c r="AN32" s="24">
        <v>53</v>
      </c>
      <c r="AO32" s="24">
        <v>54</v>
      </c>
      <c r="AP32" s="24">
        <v>55</v>
      </c>
      <c r="AQ32" s="24">
        <v>56</v>
      </c>
      <c r="AR32" s="24">
        <v>57</v>
      </c>
      <c r="AS32" s="24">
        <v>58</v>
      </c>
      <c r="AT32" s="24">
        <v>59</v>
      </c>
      <c r="AU32" s="24">
        <v>60</v>
      </c>
      <c r="AV32" s="24">
        <v>61</v>
      </c>
      <c r="AW32" s="24">
        <v>62</v>
      </c>
      <c r="AX32" s="24">
        <v>63</v>
      </c>
      <c r="AY32" s="24">
        <v>64</v>
      </c>
      <c r="AZ32" s="24">
        <v>65</v>
      </c>
      <c r="BA32" s="24">
        <v>66</v>
      </c>
      <c r="BB32" s="24">
        <v>67</v>
      </c>
      <c r="BC32" s="24">
        <v>68</v>
      </c>
      <c r="BD32" s="24">
        <v>69</v>
      </c>
      <c r="BE32" s="24">
        <v>70</v>
      </c>
      <c r="BF32" s="24">
        <v>71</v>
      </c>
      <c r="BG32" s="24">
        <v>72</v>
      </c>
      <c r="BH32" s="24">
        <v>73</v>
      </c>
      <c r="BI32" s="24">
        <v>74</v>
      </c>
      <c r="BJ32" s="24">
        <v>75</v>
      </c>
      <c r="BK32" s="24">
        <v>76</v>
      </c>
      <c r="BL32" s="24">
        <v>77</v>
      </c>
      <c r="BM32" s="24">
        <v>78</v>
      </c>
      <c r="BN32" s="24">
        <v>79</v>
      </c>
      <c r="BO32" s="24">
        <v>80</v>
      </c>
      <c r="BP32" s="24" t="s">
        <v>92</v>
      </c>
    </row>
    <row r="33" spans="1:69" ht="15">
      <c r="A33" s="1" t="s">
        <v>93</v>
      </c>
      <c r="B33" s="1">
        <v>61.8</v>
      </c>
      <c r="D33" s="18" t="s">
        <v>90</v>
      </c>
      <c r="E33" s="25">
        <f>+B31</f>
        <v>36026</v>
      </c>
      <c r="F33" s="26">
        <f>+E35</f>
        <v>35996.946774193551</v>
      </c>
      <c r="G33" s="26">
        <f>+F35</f>
        <v>35967.916978407913</v>
      </c>
      <c r="H33" s="26">
        <f>+G35</f>
        <v>35938.910593747903</v>
      </c>
      <c r="I33" s="26">
        <f t="shared" ref="I33" si="130">+H35</f>
        <v>35909.927601333591</v>
      </c>
      <c r="J33" s="26">
        <f t="shared" ref="J33" si="131">+I35</f>
        <v>35880.967982300259</v>
      </c>
      <c r="K33" s="26">
        <f t="shared" ref="K33" si="132">+J35</f>
        <v>35852.031717798403</v>
      </c>
      <c r="L33" s="26">
        <f t="shared" ref="L33" si="133">+K35</f>
        <v>35823.118788993728</v>
      </c>
      <c r="M33" s="26">
        <f t="shared" ref="M33" si="134">+L35</f>
        <v>35794.229177067122</v>
      </c>
      <c r="N33" s="26">
        <f t="shared" ref="N33" si="135">+M35</f>
        <v>35765.36286321465</v>
      </c>
      <c r="O33" s="26">
        <f t="shared" ref="O33" si="136">+N35</f>
        <v>35736.519828647542</v>
      </c>
      <c r="P33" s="26">
        <f t="shared" ref="P33" si="137">+O35</f>
        <v>35707.700054592184</v>
      </c>
      <c r="Q33" s="26">
        <f t="shared" ref="Q33" si="138">+P35</f>
        <v>35678.903522290093</v>
      </c>
      <c r="R33" s="26">
        <f t="shared" ref="R33" si="139">+Q35</f>
        <v>35650.130212997923</v>
      </c>
      <c r="S33" s="26">
        <f t="shared" ref="S33" si="140">+R35</f>
        <v>35621.380107987439</v>
      </c>
      <c r="T33" s="26">
        <f t="shared" ref="T33" si="141">+S35</f>
        <v>35592.653188545512</v>
      </c>
      <c r="U33" s="26">
        <f t="shared" ref="U33" si="142">+T35</f>
        <v>35563.949435974107</v>
      </c>
      <c r="V33" s="26">
        <f t="shared" ref="V33" si="143">+U35</f>
        <v>35535.268831590256</v>
      </c>
      <c r="W33" s="26">
        <f t="shared" ref="W33" si="144">+V35</f>
        <v>35506.611356726069</v>
      </c>
      <c r="X33" s="26">
        <f t="shared" ref="X33" si="145">+W35</f>
        <v>35477.976992728713</v>
      </c>
      <c r="Y33" s="26">
        <f t="shared" ref="Y33" si="146">+X35</f>
        <v>35449.365720960384</v>
      </c>
      <c r="Z33" s="26">
        <f t="shared" ref="Z33" si="147">+Y35</f>
        <v>35420.777522798322</v>
      </c>
      <c r="AA33" s="26">
        <f t="shared" ref="AA33" si="148">+Z35</f>
        <v>35392.212379634773</v>
      </c>
      <c r="AB33" s="26">
        <f t="shared" ref="AB33" si="149">+AA35</f>
        <v>35363.670272877003</v>
      </c>
      <c r="AC33" s="26">
        <f t="shared" ref="AC33" si="150">+AB35</f>
        <v>35335.151183947266</v>
      </c>
      <c r="AD33" s="26">
        <f t="shared" ref="AD33" si="151">+AC35</f>
        <v>35306.655094282789</v>
      </c>
      <c r="AE33" s="26">
        <f>+AD35</f>
        <v>35278.181985335788</v>
      </c>
      <c r="AF33" s="26">
        <f t="shared" ref="AF33" si="152">+AE35</f>
        <v>35249.731838573418</v>
      </c>
      <c r="AG33" s="26">
        <f t="shared" ref="AG33" si="153">+AF35</f>
        <v>35221.304635477791</v>
      </c>
      <c r="AH33" s="26">
        <f t="shared" ref="AH33" si="154">+AG35</f>
        <v>35192.900357545957</v>
      </c>
      <c r="AI33" s="26">
        <f t="shared" ref="AI33" si="155">+AH35</f>
        <v>35164.51898628987</v>
      </c>
      <c r="AJ33" s="26">
        <f t="shared" ref="AJ33" si="156">+AI35</f>
        <v>35136.16050323641</v>
      </c>
      <c r="AK33" s="26">
        <f t="shared" ref="AK33" si="157">+AJ35</f>
        <v>35107.824889927346</v>
      </c>
      <c r="AL33" s="26">
        <f t="shared" ref="AL33" si="158">+AK35</f>
        <v>35079.512127919341</v>
      </c>
      <c r="AM33" s="26">
        <f t="shared" ref="AM33" si="159">+AL35</f>
        <v>35051.222198783922</v>
      </c>
      <c r="AN33" s="26">
        <f t="shared" ref="AN33" si="160">+AM35</f>
        <v>35022.955084107482</v>
      </c>
      <c r="AO33" s="26">
        <f t="shared" ref="AO33" si="161">+AN35</f>
        <v>34994.710765491269</v>
      </c>
      <c r="AP33" s="26">
        <f t="shared" ref="AP33" si="162">+AO35</f>
        <v>34966.489224551355</v>
      </c>
      <c r="AQ33" s="26">
        <f t="shared" ref="AQ33" si="163">+AP35</f>
        <v>34938.290442918653</v>
      </c>
      <c r="AR33" s="26">
        <f t="shared" ref="AR33" si="164">+AQ35</f>
        <v>34910.114402238876</v>
      </c>
      <c r="AS33" s="26">
        <f t="shared" ref="AS33" si="165">+AR35</f>
        <v>34881.961084172552</v>
      </c>
      <c r="AT33" s="26">
        <f t="shared" ref="AT33" si="166">+AS35</f>
        <v>34853.830470394991</v>
      </c>
      <c r="AU33" s="26">
        <f t="shared" ref="AU33" si="167">+AT35</f>
        <v>34825.722542596282</v>
      </c>
      <c r="AV33" s="26">
        <f t="shared" ref="AV33" si="168">+AU35</f>
        <v>34797.637282481286</v>
      </c>
      <c r="AW33" s="26">
        <f t="shared" ref="AW33" si="169">+AV35</f>
        <v>34769.574671769609</v>
      </c>
      <c r="AX33" s="26">
        <f t="shared" ref="AX33" si="170">+AW35</f>
        <v>34741.534692195601</v>
      </c>
      <c r="AY33" s="26">
        <f t="shared" ref="AY33" si="171">+AX35</f>
        <v>34713.517325508343</v>
      </c>
      <c r="AZ33" s="26">
        <f t="shared" ref="AZ33" si="172">+AY35</f>
        <v>34685.522553471645</v>
      </c>
      <c r="BA33" s="26">
        <f t="shared" ref="BA33" si="173">+AZ35</f>
        <v>34657.550357864005</v>
      </c>
      <c r="BB33" s="26">
        <f t="shared" ref="BB33" si="174">+BA35</f>
        <v>34629.600720478629</v>
      </c>
      <c r="BC33" s="26">
        <f t="shared" ref="BC33" si="175">+BB35</f>
        <v>34601.673623123403</v>
      </c>
      <c r="BD33" s="26">
        <f t="shared" ref="BD33" si="176">+BC35</f>
        <v>34573.769047620881</v>
      </c>
      <c r="BE33" s="26">
        <f t="shared" ref="BE33" si="177">+BD35</f>
        <v>34545.88697580828</v>
      </c>
      <c r="BF33" s="26">
        <f t="shared" ref="BF33" si="178">+BE35</f>
        <v>34518.02738953747</v>
      </c>
      <c r="BG33" s="26">
        <f t="shared" ref="BG33" si="179">+BF35</f>
        <v>34490.190270674939</v>
      </c>
      <c r="BH33" s="26">
        <f t="shared" ref="BH33" si="180">+BG35</f>
        <v>34462.375601101812</v>
      </c>
      <c r="BI33" s="26">
        <f t="shared" ref="BI33" si="181">+BH35</f>
        <v>34434.583362713827</v>
      </c>
      <c r="BJ33" s="26">
        <f t="shared" ref="BJ33" si="182">+BI35</f>
        <v>34406.813537421316</v>
      </c>
      <c r="BK33" s="26">
        <f t="shared" ref="BK33" si="183">+BJ35</f>
        <v>34379.0661071492</v>
      </c>
      <c r="BL33" s="26">
        <f t="shared" ref="BL33" si="184">+BK35</f>
        <v>34351.341053836979</v>
      </c>
      <c r="BM33" s="26">
        <f t="shared" ref="BM33" si="185">+BL35</f>
        <v>34323.638359438723</v>
      </c>
      <c r="BN33" s="26">
        <f t="shared" ref="BN33" si="186">+BM35</f>
        <v>34295.958005923043</v>
      </c>
      <c r="BO33" s="26">
        <f t="shared" ref="BO33" si="187">+BN35</f>
        <v>34268.299975273105</v>
      </c>
      <c r="BP33" s="26">
        <f>+BO35</f>
        <v>34240.664249486596</v>
      </c>
    </row>
    <row r="34" spans="1:69" ht="15">
      <c r="A34" s="1" t="s">
        <v>94</v>
      </c>
      <c r="B34" s="22">
        <v>0.84</v>
      </c>
      <c r="C34">
        <v>1</v>
      </c>
      <c r="D34" s="18" t="s">
        <v>91</v>
      </c>
      <c r="E34" s="26">
        <f>+(E33*$C$32)*$C$34</f>
        <v>29.053225806451614</v>
      </c>
      <c r="F34" s="26">
        <f t="shared" ref="F34:BO34" si="188">+(F33*$C$32)*$C$34</f>
        <v>29.029795785639962</v>
      </c>
      <c r="G34" s="26">
        <f t="shared" si="188"/>
        <v>29.006384660006383</v>
      </c>
      <c r="H34" s="26">
        <f t="shared" si="188"/>
        <v>28.982992414312825</v>
      </c>
      <c r="I34" s="26">
        <f t="shared" si="188"/>
        <v>28.959619033333542</v>
      </c>
      <c r="J34" s="26">
        <f t="shared" si="188"/>
        <v>28.936264501855046</v>
      </c>
      <c r="K34" s="26">
        <f t="shared" si="188"/>
        <v>28.912928804676131</v>
      </c>
      <c r="L34" s="26">
        <f t="shared" si="188"/>
        <v>28.889611926607845</v>
      </c>
      <c r="M34" s="26">
        <f t="shared" si="188"/>
        <v>28.866313852473485</v>
      </c>
      <c r="N34" s="26">
        <f t="shared" si="188"/>
        <v>28.843034567108589</v>
      </c>
      <c r="O34" s="26">
        <f t="shared" si="188"/>
        <v>28.81977405536092</v>
      </c>
      <c r="P34" s="26">
        <f t="shared" si="188"/>
        <v>28.796532302090469</v>
      </c>
      <c r="Q34" s="26">
        <f t="shared" si="188"/>
        <v>28.773309292169429</v>
      </c>
      <c r="R34" s="26">
        <f t="shared" si="188"/>
        <v>28.750105010482194</v>
      </c>
      <c r="S34" s="26">
        <f t="shared" si="188"/>
        <v>28.726919441925354</v>
      </c>
      <c r="T34" s="26">
        <f t="shared" si="188"/>
        <v>28.703752571407669</v>
      </c>
      <c r="U34" s="26">
        <f t="shared" si="188"/>
        <v>28.680604383850088</v>
      </c>
      <c r="V34" s="26">
        <f t="shared" si="188"/>
        <v>28.657474864185691</v>
      </c>
      <c r="W34" s="26">
        <f t="shared" si="188"/>
        <v>28.634363997359735</v>
      </c>
      <c r="X34" s="26">
        <f t="shared" si="188"/>
        <v>28.611271768329608</v>
      </c>
      <c r="Y34" s="26">
        <f t="shared" si="188"/>
        <v>28.588198162064828</v>
      </c>
      <c r="Z34" s="26">
        <f t="shared" si="188"/>
        <v>28.565143163547035</v>
      </c>
      <c r="AA34" s="26">
        <f t="shared" si="188"/>
        <v>28.542106757769979</v>
      </c>
      <c r="AB34" s="26">
        <f t="shared" si="188"/>
        <v>28.519088929739517</v>
      </c>
      <c r="AC34" s="26">
        <f t="shared" si="188"/>
        <v>28.496089664473601</v>
      </c>
      <c r="AD34" s="26">
        <f t="shared" si="188"/>
        <v>28.473108947002249</v>
      </c>
      <c r="AE34" s="26">
        <f t="shared" si="188"/>
        <v>28.45014676236757</v>
      </c>
      <c r="AF34" s="26">
        <f t="shared" si="188"/>
        <v>28.427203095623724</v>
      </c>
      <c r="AG34" s="26">
        <f t="shared" si="188"/>
        <v>28.404277931836926</v>
      </c>
      <c r="AH34" s="26">
        <f t="shared" si="188"/>
        <v>28.381371256085451</v>
      </c>
      <c r="AI34" s="26">
        <f t="shared" si="188"/>
        <v>28.358483053459572</v>
      </c>
      <c r="AJ34" s="26">
        <f t="shared" si="188"/>
        <v>28.335613309061621</v>
      </c>
      <c r="AK34" s="26">
        <f t="shared" si="188"/>
        <v>28.312762008005922</v>
      </c>
      <c r="AL34" s="26">
        <f t="shared" si="188"/>
        <v>28.289929135418824</v>
      </c>
      <c r="AM34" s="26">
        <f t="shared" si="188"/>
        <v>28.267114676438649</v>
      </c>
      <c r="AN34" s="26">
        <f t="shared" si="188"/>
        <v>28.244318616215711</v>
      </c>
      <c r="AO34" s="26">
        <f t="shared" si="188"/>
        <v>28.221540939912312</v>
      </c>
      <c r="AP34" s="26">
        <f t="shared" si="188"/>
        <v>28.198781632702705</v>
      </c>
      <c r="AQ34" s="26">
        <f t="shared" si="188"/>
        <v>28.176040679773106</v>
      </c>
      <c r="AR34" s="26">
        <f t="shared" si="188"/>
        <v>28.153318066321674</v>
      </c>
      <c r="AS34" s="26">
        <f t="shared" si="188"/>
        <v>28.130613777558509</v>
      </c>
      <c r="AT34" s="26">
        <f t="shared" si="188"/>
        <v>28.107927798705639</v>
      </c>
      <c r="AU34" s="26">
        <f t="shared" si="188"/>
        <v>28.085260114997002</v>
      </c>
      <c r="AV34" s="26">
        <f t="shared" si="188"/>
        <v>28.062610711678456</v>
      </c>
      <c r="AW34" s="26">
        <f t="shared" si="188"/>
        <v>28.039979574007749</v>
      </c>
      <c r="AX34" s="26">
        <f t="shared" si="188"/>
        <v>28.017366687254516</v>
      </c>
      <c r="AY34" s="26">
        <f t="shared" si="188"/>
        <v>27.994772036700276</v>
      </c>
      <c r="AZ34" s="26">
        <f t="shared" si="188"/>
        <v>27.972195607638422</v>
      </c>
      <c r="BA34" s="26">
        <f t="shared" si="188"/>
        <v>27.949637385374199</v>
      </c>
      <c r="BB34" s="26">
        <f t="shared" si="188"/>
        <v>27.927097355224699</v>
      </c>
      <c r="BC34" s="26">
        <f t="shared" si="188"/>
        <v>27.904575502518874</v>
      </c>
      <c r="BD34" s="26">
        <f t="shared" si="188"/>
        <v>27.882071812597484</v>
      </c>
      <c r="BE34" s="26">
        <f t="shared" si="188"/>
        <v>27.859586270813129</v>
      </c>
      <c r="BF34" s="26">
        <f t="shared" si="188"/>
        <v>27.837118862530218</v>
      </c>
      <c r="BG34" s="26">
        <f t="shared" si="188"/>
        <v>27.814669573124952</v>
      </c>
      <c r="BH34" s="26">
        <f t="shared" si="188"/>
        <v>27.792238387985332</v>
      </c>
      <c r="BI34" s="26">
        <f t="shared" si="188"/>
        <v>27.76982529251115</v>
      </c>
      <c r="BJ34" s="26">
        <f t="shared" si="188"/>
        <v>27.747430272113963</v>
      </c>
      <c r="BK34" s="26">
        <f t="shared" si="188"/>
        <v>27.725053312217096</v>
      </c>
      <c r="BL34" s="26">
        <f t="shared" si="188"/>
        <v>27.702694398255627</v>
      </c>
      <c r="BM34" s="26">
        <f t="shared" si="188"/>
        <v>27.680353515676391</v>
      </c>
      <c r="BN34" s="26">
        <f t="shared" si="188"/>
        <v>27.658030649937938</v>
      </c>
      <c r="BO34" s="26">
        <f t="shared" si="188"/>
        <v>27.635725786510569</v>
      </c>
      <c r="BP34" s="26">
        <f>+SUM(E34:BO34)</f>
        <v>1785.3357505133795</v>
      </c>
    </row>
    <row r="35" spans="1:69" ht="15">
      <c r="A35" s="1" t="s">
        <v>95</v>
      </c>
      <c r="B35" s="1">
        <v>108</v>
      </c>
      <c r="D35" s="18" t="s">
        <v>96</v>
      </c>
      <c r="E35" s="26">
        <f>+E33-E34</f>
        <v>35996.946774193551</v>
      </c>
      <c r="F35" s="26">
        <f>+F33-F34</f>
        <v>35967.916978407913</v>
      </c>
      <c r="G35" s="26">
        <f>+G33-G34</f>
        <v>35938.910593747903</v>
      </c>
      <c r="H35" s="26">
        <f t="shared" ref="H35:BO35" si="189">+H33-H34</f>
        <v>35909.927601333591</v>
      </c>
      <c r="I35" s="26">
        <f t="shared" si="189"/>
        <v>35880.967982300259</v>
      </c>
      <c r="J35" s="26">
        <f t="shared" si="189"/>
        <v>35852.031717798403</v>
      </c>
      <c r="K35" s="26">
        <f t="shared" si="189"/>
        <v>35823.118788993728</v>
      </c>
      <c r="L35" s="26">
        <f t="shared" si="189"/>
        <v>35794.229177067122</v>
      </c>
      <c r="M35" s="26">
        <f t="shared" si="189"/>
        <v>35765.36286321465</v>
      </c>
      <c r="N35" s="26">
        <f t="shared" si="189"/>
        <v>35736.519828647542</v>
      </c>
      <c r="O35" s="26">
        <f t="shared" si="189"/>
        <v>35707.700054592184</v>
      </c>
      <c r="P35" s="26">
        <f t="shared" si="189"/>
        <v>35678.903522290093</v>
      </c>
      <c r="Q35" s="26">
        <f t="shared" si="189"/>
        <v>35650.130212997923</v>
      </c>
      <c r="R35" s="26">
        <f t="shared" si="189"/>
        <v>35621.380107987439</v>
      </c>
      <c r="S35" s="26">
        <f t="shared" si="189"/>
        <v>35592.653188545512</v>
      </c>
      <c r="T35" s="26">
        <f t="shared" si="189"/>
        <v>35563.949435974107</v>
      </c>
      <c r="U35" s="26">
        <f t="shared" si="189"/>
        <v>35535.268831590256</v>
      </c>
      <c r="V35" s="26">
        <f t="shared" si="189"/>
        <v>35506.611356726069</v>
      </c>
      <c r="W35" s="26">
        <f t="shared" si="189"/>
        <v>35477.976992728713</v>
      </c>
      <c r="X35" s="26">
        <f t="shared" si="189"/>
        <v>35449.365720960384</v>
      </c>
      <c r="Y35" s="26">
        <f t="shared" si="189"/>
        <v>35420.777522798322</v>
      </c>
      <c r="Z35" s="26">
        <f t="shared" si="189"/>
        <v>35392.212379634773</v>
      </c>
      <c r="AA35" s="26">
        <f t="shared" si="189"/>
        <v>35363.670272877003</v>
      </c>
      <c r="AB35" s="26">
        <f t="shared" si="189"/>
        <v>35335.151183947266</v>
      </c>
      <c r="AC35" s="26">
        <f t="shared" si="189"/>
        <v>35306.655094282789</v>
      </c>
      <c r="AD35" s="26">
        <f t="shared" si="189"/>
        <v>35278.181985335788</v>
      </c>
      <c r="AE35" s="26">
        <f t="shared" si="189"/>
        <v>35249.731838573418</v>
      </c>
      <c r="AF35" s="26">
        <f t="shared" si="189"/>
        <v>35221.304635477791</v>
      </c>
      <c r="AG35" s="26">
        <f t="shared" si="189"/>
        <v>35192.900357545957</v>
      </c>
      <c r="AH35" s="26">
        <f t="shared" si="189"/>
        <v>35164.51898628987</v>
      </c>
      <c r="AI35" s="26">
        <f t="shared" si="189"/>
        <v>35136.16050323641</v>
      </c>
      <c r="AJ35" s="26">
        <f t="shared" si="189"/>
        <v>35107.824889927346</v>
      </c>
      <c r="AK35" s="26">
        <f t="shared" si="189"/>
        <v>35079.512127919341</v>
      </c>
      <c r="AL35" s="26">
        <f t="shared" si="189"/>
        <v>35051.222198783922</v>
      </c>
      <c r="AM35" s="26">
        <f t="shared" si="189"/>
        <v>35022.955084107482</v>
      </c>
      <c r="AN35" s="26">
        <f t="shared" si="189"/>
        <v>34994.710765491269</v>
      </c>
      <c r="AO35" s="26">
        <f t="shared" si="189"/>
        <v>34966.489224551355</v>
      </c>
      <c r="AP35" s="26">
        <f t="shared" si="189"/>
        <v>34938.290442918653</v>
      </c>
      <c r="AQ35" s="26">
        <f t="shared" si="189"/>
        <v>34910.114402238876</v>
      </c>
      <c r="AR35" s="26">
        <f t="shared" si="189"/>
        <v>34881.961084172552</v>
      </c>
      <c r="AS35" s="26">
        <f t="shared" si="189"/>
        <v>34853.830470394991</v>
      </c>
      <c r="AT35" s="26">
        <f t="shared" si="189"/>
        <v>34825.722542596282</v>
      </c>
      <c r="AU35" s="26">
        <f t="shared" si="189"/>
        <v>34797.637282481286</v>
      </c>
      <c r="AV35" s="26">
        <f t="shared" si="189"/>
        <v>34769.574671769609</v>
      </c>
      <c r="AW35" s="26">
        <f t="shared" si="189"/>
        <v>34741.534692195601</v>
      </c>
      <c r="AX35" s="26">
        <f t="shared" si="189"/>
        <v>34713.517325508343</v>
      </c>
      <c r="AY35" s="26">
        <f t="shared" si="189"/>
        <v>34685.522553471645</v>
      </c>
      <c r="AZ35" s="26">
        <f t="shared" si="189"/>
        <v>34657.550357864005</v>
      </c>
      <c r="BA35" s="26">
        <f t="shared" si="189"/>
        <v>34629.600720478629</v>
      </c>
      <c r="BB35" s="26">
        <f t="shared" si="189"/>
        <v>34601.673623123403</v>
      </c>
      <c r="BC35" s="26">
        <f t="shared" si="189"/>
        <v>34573.769047620881</v>
      </c>
      <c r="BD35" s="26">
        <f t="shared" si="189"/>
        <v>34545.88697580828</v>
      </c>
      <c r="BE35" s="26">
        <f t="shared" si="189"/>
        <v>34518.02738953747</v>
      </c>
      <c r="BF35" s="26">
        <f t="shared" si="189"/>
        <v>34490.190270674939</v>
      </c>
      <c r="BG35" s="26">
        <f t="shared" si="189"/>
        <v>34462.375601101812</v>
      </c>
      <c r="BH35" s="26">
        <f t="shared" si="189"/>
        <v>34434.583362713827</v>
      </c>
      <c r="BI35" s="26">
        <f t="shared" si="189"/>
        <v>34406.813537421316</v>
      </c>
      <c r="BJ35" s="26">
        <f t="shared" si="189"/>
        <v>34379.0661071492</v>
      </c>
      <c r="BK35" s="26">
        <f t="shared" si="189"/>
        <v>34351.341053836979</v>
      </c>
      <c r="BL35" s="26">
        <f t="shared" si="189"/>
        <v>34323.638359438723</v>
      </c>
      <c r="BM35" s="26">
        <f t="shared" si="189"/>
        <v>34295.958005923043</v>
      </c>
      <c r="BN35" s="26">
        <f t="shared" si="189"/>
        <v>34268.299975273105</v>
      </c>
      <c r="BO35" s="26">
        <f t="shared" si="189"/>
        <v>34240.664249486596</v>
      </c>
      <c r="BP35" s="26"/>
    </row>
    <row r="36" spans="1:69" ht="15">
      <c r="A36" s="1" t="s">
        <v>56</v>
      </c>
      <c r="B36" s="11">
        <v>300</v>
      </c>
      <c r="D36" s="18" t="s">
        <v>52</v>
      </c>
      <c r="E36" s="26">
        <f>+((E35*$B$35)*7)/1000</f>
        <v>27213.691761290327</v>
      </c>
      <c r="F36" s="26">
        <f t="shared" ref="F36:BO36" si="190">+((F35*$B$35)*7)/1000</f>
        <v>27191.745235676382</v>
      </c>
      <c r="G36" s="26">
        <f t="shared" si="190"/>
        <v>27169.816408873416</v>
      </c>
      <c r="H36" s="26">
        <f t="shared" si="190"/>
        <v>27147.905266608195</v>
      </c>
      <c r="I36" s="26">
        <f t="shared" si="190"/>
        <v>27126.011794618997</v>
      </c>
      <c r="J36" s="26">
        <f t="shared" si="190"/>
        <v>27104.135978655595</v>
      </c>
      <c r="K36" s="26">
        <f t="shared" si="190"/>
        <v>27082.277804479258</v>
      </c>
      <c r="L36" s="26">
        <f t="shared" si="190"/>
        <v>27060.437257862744</v>
      </c>
      <c r="M36" s="26">
        <f t="shared" si="190"/>
        <v>27038.614324590279</v>
      </c>
      <c r="N36" s="26">
        <f t="shared" si="190"/>
        <v>27016.808990457543</v>
      </c>
      <c r="O36" s="26">
        <f t="shared" si="190"/>
        <v>26995.021241271694</v>
      </c>
      <c r="P36" s="26">
        <f t="shared" si="190"/>
        <v>26973.251062851308</v>
      </c>
      <c r="Q36" s="26">
        <f t="shared" si="190"/>
        <v>26951.49844102643</v>
      </c>
      <c r="R36" s="26">
        <f t="shared" si="190"/>
        <v>26929.763361638506</v>
      </c>
      <c r="S36" s="26">
        <f t="shared" si="190"/>
        <v>26908.045810540407</v>
      </c>
      <c r="T36" s="26">
        <f t="shared" si="190"/>
        <v>26886.345773596429</v>
      </c>
      <c r="U36" s="26">
        <f t="shared" si="190"/>
        <v>26864.663236682234</v>
      </c>
      <c r="V36" s="26">
        <f t="shared" si="190"/>
        <v>26842.998185684908</v>
      </c>
      <c r="W36" s="26">
        <f t="shared" si="190"/>
        <v>26821.350606502911</v>
      </c>
      <c r="X36" s="26">
        <f t="shared" si="190"/>
        <v>26799.720485046051</v>
      </c>
      <c r="Y36" s="26">
        <f t="shared" si="190"/>
        <v>26778.10780723553</v>
      </c>
      <c r="Z36" s="26">
        <f t="shared" si="190"/>
        <v>26756.512559003888</v>
      </c>
      <c r="AA36" s="26">
        <f t="shared" si="190"/>
        <v>26734.934726295018</v>
      </c>
      <c r="AB36" s="26">
        <f t="shared" si="190"/>
        <v>26713.374295064132</v>
      </c>
      <c r="AC36" s="26">
        <f t="shared" si="190"/>
        <v>26691.831251277788</v>
      </c>
      <c r="AD36" s="26">
        <f t="shared" si="190"/>
        <v>26670.305580913857</v>
      </c>
      <c r="AE36" s="26">
        <f t="shared" si="190"/>
        <v>26648.797269961502</v>
      </c>
      <c r="AF36" s="26">
        <f t="shared" si="190"/>
        <v>26627.30630442121</v>
      </c>
      <c r="AG36" s="26">
        <f t="shared" si="190"/>
        <v>26605.832670304746</v>
      </c>
      <c r="AH36" s="26">
        <f t="shared" si="190"/>
        <v>26584.37635363514</v>
      </c>
      <c r="AI36" s="26">
        <f t="shared" si="190"/>
        <v>26562.937340446726</v>
      </c>
      <c r="AJ36" s="26">
        <f t="shared" si="190"/>
        <v>26541.515616785073</v>
      </c>
      <c r="AK36" s="26">
        <f t="shared" si="190"/>
        <v>26520.111168707026</v>
      </c>
      <c r="AL36" s="26">
        <f t="shared" si="190"/>
        <v>26498.72398228064</v>
      </c>
      <c r="AM36" s="26">
        <f t="shared" si="190"/>
        <v>26477.354043585256</v>
      </c>
      <c r="AN36" s="26">
        <f t="shared" si="190"/>
        <v>26456.001338711401</v>
      </c>
      <c r="AO36" s="26">
        <f t="shared" si="190"/>
        <v>26434.665853760824</v>
      </c>
      <c r="AP36" s="26">
        <f t="shared" si="190"/>
        <v>26413.347574846499</v>
      </c>
      <c r="AQ36" s="26">
        <f t="shared" si="190"/>
        <v>26392.04648809259</v>
      </c>
      <c r="AR36" s="26">
        <f t="shared" si="190"/>
        <v>26370.762579634451</v>
      </c>
      <c r="AS36" s="26">
        <f t="shared" si="190"/>
        <v>26349.495835618611</v>
      </c>
      <c r="AT36" s="26">
        <f t="shared" si="190"/>
        <v>26328.246242202789</v>
      </c>
      <c r="AU36" s="26">
        <f t="shared" si="190"/>
        <v>26307.013785555853</v>
      </c>
      <c r="AV36" s="26">
        <f t="shared" si="190"/>
        <v>26285.798451857823</v>
      </c>
      <c r="AW36" s="26">
        <f t="shared" si="190"/>
        <v>26264.600227299878</v>
      </c>
      <c r="AX36" s="26">
        <f t="shared" si="190"/>
        <v>26243.419098084309</v>
      </c>
      <c r="AY36" s="26">
        <f t="shared" si="190"/>
        <v>26222.255050424566</v>
      </c>
      <c r="AZ36" s="26">
        <f t="shared" si="190"/>
        <v>26201.10807054519</v>
      </c>
      <c r="BA36" s="26">
        <f t="shared" si="190"/>
        <v>26179.978144681842</v>
      </c>
      <c r="BB36" s="26">
        <f t="shared" si="190"/>
        <v>26158.865259081293</v>
      </c>
      <c r="BC36" s="26">
        <f t="shared" si="190"/>
        <v>26137.769400001383</v>
      </c>
      <c r="BD36" s="26">
        <f t="shared" si="190"/>
        <v>26116.690553711062</v>
      </c>
      <c r="BE36" s="26">
        <f t="shared" si="190"/>
        <v>26095.628706490326</v>
      </c>
      <c r="BF36" s="26">
        <f t="shared" si="190"/>
        <v>26074.583844630255</v>
      </c>
      <c r="BG36" s="26">
        <f t="shared" si="190"/>
        <v>26053.555954432974</v>
      </c>
      <c r="BH36" s="26">
        <f t="shared" si="190"/>
        <v>26032.545022211652</v>
      </c>
      <c r="BI36" s="26">
        <f t="shared" si="190"/>
        <v>26011.551034290515</v>
      </c>
      <c r="BJ36" s="26">
        <f t="shared" si="190"/>
        <v>25990.573977004795</v>
      </c>
      <c r="BK36" s="26">
        <f t="shared" si="190"/>
        <v>25969.613836700755</v>
      </c>
      <c r="BL36" s="26">
        <f t="shared" si="190"/>
        <v>25948.670599735673</v>
      </c>
      <c r="BM36" s="26">
        <f t="shared" si="190"/>
        <v>25927.74425247782</v>
      </c>
      <c r="BN36" s="26">
        <f t="shared" si="190"/>
        <v>25906.834781306468</v>
      </c>
      <c r="BO36" s="26">
        <f t="shared" si="190"/>
        <v>25885.942172611867</v>
      </c>
      <c r="BP36" s="26">
        <f>+SUM(E36:BO36)</f>
        <v>1672295.4321338746</v>
      </c>
    </row>
    <row r="37" spans="1:69">
      <c r="C37">
        <v>1</v>
      </c>
      <c r="D37" s="18" t="s">
        <v>97</v>
      </c>
      <c r="E37" s="26">
        <f>+((E33*$B$34)*7)*$C$37</f>
        <v>211832.88</v>
      </c>
      <c r="F37" s="26">
        <f t="shared" ref="F37:BO37" si="191">+((F33*$B$34)*7)*$C$37</f>
        <v>211662.04703225807</v>
      </c>
      <c r="G37" s="26">
        <f t="shared" si="191"/>
        <v>211491.35183303853</v>
      </c>
      <c r="H37" s="26">
        <f t="shared" si="191"/>
        <v>211320.79429123766</v>
      </c>
      <c r="I37" s="26">
        <f t="shared" si="191"/>
        <v>211150.3742958415</v>
      </c>
      <c r="J37" s="26">
        <f t="shared" si="191"/>
        <v>210980.09173592553</v>
      </c>
      <c r="K37" s="26">
        <f t="shared" si="191"/>
        <v>210809.94650065462</v>
      </c>
      <c r="L37" s="26">
        <f t="shared" si="191"/>
        <v>210639.93847928313</v>
      </c>
      <c r="M37" s="26">
        <f t="shared" si="191"/>
        <v>210470.06756115466</v>
      </c>
      <c r="N37" s="26">
        <f t="shared" si="191"/>
        <v>210300.33363570215</v>
      </c>
      <c r="O37" s="26">
        <f t="shared" si="191"/>
        <v>210130.73659244753</v>
      </c>
      <c r="P37" s="26">
        <f t="shared" si="191"/>
        <v>209961.27632100202</v>
      </c>
      <c r="Q37" s="26">
        <f t="shared" si="191"/>
        <v>209791.95271106574</v>
      </c>
      <c r="R37" s="26">
        <f t="shared" si="191"/>
        <v>209622.7656524278</v>
      </c>
      <c r="S37" s="26">
        <f t="shared" si="191"/>
        <v>209453.71503496612</v>
      </c>
      <c r="T37" s="26">
        <f t="shared" si="191"/>
        <v>209284.8007486476</v>
      </c>
      <c r="U37" s="26">
        <f t="shared" si="191"/>
        <v>209116.02268352776</v>
      </c>
      <c r="V37" s="26">
        <f t="shared" si="191"/>
        <v>208947.3807297507</v>
      </c>
      <c r="W37" s="26">
        <f t="shared" si="191"/>
        <v>208778.87477754927</v>
      </c>
      <c r="X37" s="26">
        <f t="shared" si="191"/>
        <v>208610.50471724482</v>
      </c>
      <c r="Y37" s="26">
        <f t="shared" si="191"/>
        <v>208442.27043924705</v>
      </c>
      <c r="Z37" s="26">
        <f t="shared" si="191"/>
        <v>208274.17183405411</v>
      </c>
      <c r="AA37" s="26">
        <f t="shared" si="191"/>
        <v>208106.20879225247</v>
      </c>
      <c r="AB37" s="26">
        <f t="shared" si="191"/>
        <v>207938.38120451677</v>
      </c>
      <c r="AC37" s="26">
        <f t="shared" si="191"/>
        <v>207770.68896160991</v>
      </c>
      <c r="AD37" s="26">
        <f t="shared" si="191"/>
        <v>207603.13195438278</v>
      </c>
      <c r="AE37" s="26">
        <f t="shared" si="191"/>
        <v>207435.71007377442</v>
      </c>
      <c r="AF37" s="26">
        <f t="shared" si="191"/>
        <v>207268.42321081168</v>
      </c>
      <c r="AG37" s="26">
        <f t="shared" si="191"/>
        <v>207101.27125660938</v>
      </c>
      <c r="AH37" s="26">
        <f t="shared" si="191"/>
        <v>206934.25410237024</v>
      </c>
      <c r="AI37" s="26">
        <f t="shared" si="191"/>
        <v>206767.37163938442</v>
      </c>
      <c r="AJ37" s="26">
        <f t="shared" si="191"/>
        <v>206600.62375903007</v>
      </c>
      <c r="AK37" s="26">
        <f t="shared" si="191"/>
        <v>206434.01035277278</v>
      </c>
      <c r="AL37" s="26">
        <f t="shared" si="191"/>
        <v>206267.53131216572</v>
      </c>
      <c r="AM37" s="26">
        <f t="shared" si="191"/>
        <v>206101.18652884947</v>
      </c>
      <c r="AN37" s="26">
        <f t="shared" si="191"/>
        <v>205934.97589455199</v>
      </c>
      <c r="AO37" s="26">
        <f t="shared" si="191"/>
        <v>205768.89930108865</v>
      </c>
      <c r="AP37" s="26">
        <f t="shared" si="191"/>
        <v>205602.95664036195</v>
      </c>
      <c r="AQ37" s="26">
        <f t="shared" si="191"/>
        <v>205437.14780436168</v>
      </c>
      <c r="AR37" s="26">
        <f t="shared" si="191"/>
        <v>205271.4726851646</v>
      </c>
      <c r="AS37" s="26">
        <f t="shared" si="191"/>
        <v>205105.93117493461</v>
      </c>
      <c r="AT37" s="26">
        <f t="shared" si="191"/>
        <v>204940.52316592255</v>
      </c>
      <c r="AU37" s="26">
        <f t="shared" si="191"/>
        <v>204775.24855046615</v>
      </c>
      <c r="AV37" s="26">
        <f t="shared" si="191"/>
        <v>204610.10722098997</v>
      </c>
      <c r="AW37" s="26">
        <f t="shared" si="191"/>
        <v>204445.09907000529</v>
      </c>
      <c r="AX37" s="26">
        <f t="shared" si="191"/>
        <v>204280.22399011013</v>
      </c>
      <c r="AY37" s="26">
        <f t="shared" si="191"/>
        <v>204115.48187398905</v>
      </c>
      <c r="AZ37" s="26">
        <f t="shared" si="191"/>
        <v>203950.87261441327</v>
      </c>
      <c r="BA37" s="26">
        <f t="shared" si="191"/>
        <v>203786.39610424035</v>
      </c>
      <c r="BB37" s="26">
        <f t="shared" si="191"/>
        <v>203622.05223641434</v>
      </c>
      <c r="BC37" s="26">
        <f t="shared" si="191"/>
        <v>203457.84090396561</v>
      </c>
      <c r="BD37" s="26">
        <f t="shared" si="191"/>
        <v>203293.76200001079</v>
      </c>
      <c r="BE37" s="26">
        <f t="shared" si="191"/>
        <v>203129.81541775269</v>
      </c>
      <c r="BF37" s="26">
        <f t="shared" si="191"/>
        <v>202966.00105048032</v>
      </c>
      <c r="BG37" s="26">
        <f t="shared" si="191"/>
        <v>202802.31879156863</v>
      </c>
      <c r="BH37" s="26">
        <f t="shared" si="191"/>
        <v>202638.76853447864</v>
      </c>
      <c r="BI37" s="26">
        <f t="shared" si="191"/>
        <v>202475.35017275729</v>
      </c>
      <c r="BJ37" s="26">
        <f t="shared" si="191"/>
        <v>202312.06360003733</v>
      </c>
      <c r="BK37" s="26">
        <f t="shared" si="191"/>
        <v>202148.9087100373</v>
      </c>
      <c r="BL37" s="26">
        <f t="shared" si="191"/>
        <v>201985.88539656141</v>
      </c>
      <c r="BM37" s="26">
        <f t="shared" si="191"/>
        <v>201822.99355349969</v>
      </c>
      <c r="BN37" s="26">
        <f t="shared" si="191"/>
        <v>201660.23307482747</v>
      </c>
      <c r="BO37" s="26">
        <f t="shared" si="191"/>
        <v>201497.60385460584</v>
      </c>
      <c r="BP37" s="26">
        <f>+SUM(E37:BO37)</f>
        <v>13017240.024143156</v>
      </c>
      <c r="BQ37" s="21">
        <f>+AVERAGE(E37:BO37)</f>
        <v>206622.85752608185</v>
      </c>
    </row>
    <row r="38" spans="1:69">
      <c r="D38" s="18" t="s">
        <v>98</v>
      </c>
      <c r="E38" s="26">
        <f>+(E37*$B$33)/1000</f>
        <v>13091.271983999999</v>
      </c>
      <c r="F38" s="26">
        <f t="shared" ref="F38:BO38" si="192">+(F37*$B$33)/1000</f>
        <v>13080.714506593547</v>
      </c>
      <c r="G38" s="26">
        <f t="shared" si="192"/>
        <v>13070.165543281781</v>
      </c>
      <c r="H38" s="26">
        <f t="shared" si="192"/>
        <v>13059.625087198487</v>
      </c>
      <c r="I38" s="26">
        <f t="shared" si="192"/>
        <v>13049.093131483003</v>
      </c>
      <c r="J38" s="26">
        <f t="shared" si="192"/>
        <v>13038.569669280198</v>
      </c>
      <c r="K38" s="26">
        <f t="shared" si="192"/>
        <v>13028.054693740456</v>
      </c>
      <c r="L38" s="26">
        <f t="shared" si="192"/>
        <v>13017.548198019696</v>
      </c>
      <c r="M38" s="26">
        <f t="shared" si="192"/>
        <v>13007.050175279357</v>
      </c>
      <c r="N38" s="26">
        <f t="shared" si="192"/>
        <v>12996.560618686393</v>
      </c>
      <c r="O38" s="26">
        <f t="shared" si="192"/>
        <v>12986.079521413258</v>
      </c>
      <c r="P38" s="26">
        <f t="shared" si="192"/>
        <v>12975.606876637925</v>
      </c>
      <c r="Q38" s="26">
        <f t="shared" si="192"/>
        <v>12965.142677543861</v>
      </c>
      <c r="R38" s="26">
        <f t="shared" si="192"/>
        <v>12954.686917320038</v>
      </c>
      <c r="S38" s="26">
        <f t="shared" si="192"/>
        <v>12944.239589160907</v>
      </c>
      <c r="T38" s="26">
        <f t="shared" si="192"/>
        <v>12933.800686266421</v>
      </c>
      <c r="U38" s="26">
        <f t="shared" si="192"/>
        <v>12923.370201842015</v>
      </c>
      <c r="V38" s="26">
        <f t="shared" si="192"/>
        <v>12912.948129098593</v>
      </c>
      <c r="W38" s="26">
        <f t="shared" si="192"/>
        <v>12902.534461252544</v>
      </c>
      <c r="X38" s="26">
        <f t="shared" si="192"/>
        <v>12892.12919152573</v>
      </c>
      <c r="Y38" s="26">
        <f t="shared" si="192"/>
        <v>12881.732313145467</v>
      </c>
      <c r="Z38" s="26">
        <f t="shared" si="192"/>
        <v>12871.343819344544</v>
      </c>
      <c r="AA38" s="26">
        <f t="shared" si="192"/>
        <v>12860.963703361202</v>
      </c>
      <c r="AB38" s="26">
        <f t="shared" si="192"/>
        <v>12850.591958439136</v>
      </c>
      <c r="AC38" s="26">
        <f t="shared" si="192"/>
        <v>12840.228577827491</v>
      </c>
      <c r="AD38" s="26">
        <f t="shared" si="192"/>
        <v>12829.873554780856</v>
      </c>
      <c r="AE38" s="26">
        <f t="shared" si="192"/>
        <v>12819.526882559259</v>
      </c>
      <c r="AF38" s="26">
        <f t="shared" si="192"/>
        <v>12809.188554428161</v>
      </c>
      <c r="AG38" s="26">
        <f t="shared" si="192"/>
        <v>12798.858563658459</v>
      </c>
      <c r="AH38" s="26">
        <f t="shared" si="192"/>
        <v>12788.536903526479</v>
      </c>
      <c r="AI38" s="26">
        <f t="shared" si="192"/>
        <v>12778.223567313957</v>
      </c>
      <c r="AJ38" s="26">
        <f t="shared" si="192"/>
        <v>12767.918548308058</v>
      </c>
      <c r="AK38" s="26">
        <f t="shared" si="192"/>
        <v>12757.621839801357</v>
      </c>
      <c r="AL38" s="26">
        <f t="shared" si="192"/>
        <v>12747.333435091841</v>
      </c>
      <c r="AM38" s="26">
        <f t="shared" si="192"/>
        <v>12737.053327482898</v>
      </c>
      <c r="AN38" s="26">
        <f t="shared" si="192"/>
        <v>12726.781510283312</v>
      </c>
      <c r="AO38" s="26">
        <f t="shared" si="192"/>
        <v>12716.517976807278</v>
      </c>
      <c r="AP38" s="26">
        <f t="shared" si="192"/>
        <v>12706.262720374369</v>
      </c>
      <c r="AQ38" s="26">
        <f t="shared" si="192"/>
        <v>12696.015734309551</v>
      </c>
      <c r="AR38" s="26">
        <f t="shared" si="192"/>
        <v>12685.777011943172</v>
      </c>
      <c r="AS38" s="26">
        <f t="shared" si="192"/>
        <v>12675.546546610958</v>
      </c>
      <c r="AT38" s="26">
        <f t="shared" si="192"/>
        <v>12665.324331654014</v>
      </c>
      <c r="AU38" s="26">
        <f t="shared" si="192"/>
        <v>12655.110360418808</v>
      </c>
      <c r="AV38" s="26">
        <f t="shared" si="192"/>
        <v>12644.904626257179</v>
      </c>
      <c r="AW38" s="26">
        <f t="shared" si="192"/>
        <v>12634.707122526328</v>
      </c>
      <c r="AX38" s="26">
        <f t="shared" si="192"/>
        <v>12624.517842588804</v>
      </c>
      <c r="AY38" s="26">
        <f t="shared" si="192"/>
        <v>12614.336779812522</v>
      </c>
      <c r="AZ38" s="26">
        <f t="shared" si="192"/>
        <v>12604.16392757074</v>
      </c>
      <c r="BA38" s="26">
        <f t="shared" si="192"/>
        <v>12593.999279242054</v>
      </c>
      <c r="BB38" s="26">
        <f t="shared" si="192"/>
        <v>12583.842828210407</v>
      </c>
      <c r="BC38" s="26">
        <f t="shared" si="192"/>
        <v>12573.694567865074</v>
      </c>
      <c r="BD38" s="26">
        <f t="shared" si="192"/>
        <v>12563.554491600666</v>
      </c>
      <c r="BE38" s="26">
        <f t="shared" si="192"/>
        <v>12553.422592817114</v>
      </c>
      <c r="BF38" s="26">
        <f t="shared" si="192"/>
        <v>12543.298864919683</v>
      </c>
      <c r="BG38" s="26">
        <f t="shared" si="192"/>
        <v>12533.183301318939</v>
      </c>
      <c r="BH38" s="26">
        <f t="shared" si="192"/>
        <v>12523.075895430778</v>
      </c>
      <c r="BI38" s="26">
        <f t="shared" si="192"/>
        <v>12512.976640676399</v>
      </c>
      <c r="BJ38" s="26">
        <f t="shared" si="192"/>
        <v>12502.885530482306</v>
      </c>
      <c r="BK38" s="26">
        <f t="shared" si="192"/>
        <v>12492.802558280304</v>
      </c>
      <c r="BL38" s="26">
        <f t="shared" si="192"/>
        <v>12482.727717507494</v>
      </c>
      <c r="BM38" s="26">
        <f t="shared" si="192"/>
        <v>12472.66100160628</v>
      </c>
      <c r="BN38" s="26">
        <f t="shared" si="192"/>
        <v>12462.602404024337</v>
      </c>
      <c r="BO38" s="26">
        <f t="shared" si="192"/>
        <v>12452.55191821464</v>
      </c>
      <c r="BP38" s="26">
        <f>+(BP37*$B$33)/1000</f>
        <v>804465.4334920469</v>
      </c>
    </row>
    <row r="39" spans="1:69">
      <c r="C39">
        <v>1</v>
      </c>
      <c r="D39" s="18" t="s">
        <v>99</v>
      </c>
      <c r="E39" s="28">
        <f>+(E36*$B$36)*$C$39</f>
        <v>8164107.5283870986</v>
      </c>
      <c r="F39" s="28">
        <f t="shared" ref="F39:BO39" si="193">+(F36*$B$36)*$C$39</f>
        <v>8157523.5707029151</v>
      </c>
      <c r="G39" s="28">
        <f t="shared" si="193"/>
        <v>8150944.9226620244</v>
      </c>
      <c r="H39" s="28">
        <f t="shared" si="193"/>
        <v>8144371.5799824586</v>
      </c>
      <c r="I39" s="28">
        <f t="shared" si="193"/>
        <v>8137803.5383856986</v>
      </c>
      <c r="J39" s="28">
        <f t="shared" si="193"/>
        <v>8131240.7935966784</v>
      </c>
      <c r="K39" s="28">
        <f t="shared" si="193"/>
        <v>8124683.3413437773</v>
      </c>
      <c r="L39" s="28">
        <f t="shared" si="193"/>
        <v>8118131.1773588229</v>
      </c>
      <c r="M39" s="28">
        <f t="shared" si="193"/>
        <v>8111584.2973770835</v>
      </c>
      <c r="N39" s="28">
        <f t="shared" si="193"/>
        <v>8105042.6971372627</v>
      </c>
      <c r="O39" s="28">
        <f t="shared" si="193"/>
        <v>8098506.3723815084</v>
      </c>
      <c r="P39" s="28">
        <f t="shared" si="193"/>
        <v>8091975.3188553927</v>
      </c>
      <c r="Q39" s="28">
        <f t="shared" si="193"/>
        <v>8085449.5323079284</v>
      </c>
      <c r="R39" s="28">
        <f t="shared" si="193"/>
        <v>8078929.0084915515</v>
      </c>
      <c r="S39" s="28">
        <f t="shared" si="193"/>
        <v>8072413.7431621216</v>
      </c>
      <c r="T39" s="28">
        <f t="shared" si="193"/>
        <v>8065903.7320789285</v>
      </c>
      <c r="U39" s="28">
        <f t="shared" si="193"/>
        <v>8059398.9710046705</v>
      </c>
      <c r="V39" s="28">
        <f t="shared" si="193"/>
        <v>8052899.4557054723</v>
      </c>
      <c r="W39" s="28">
        <f t="shared" si="193"/>
        <v>8046405.1819508728</v>
      </c>
      <c r="X39" s="28">
        <f t="shared" si="193"/>
        <v>8039916.1455138158</v>
      </c>
      <c r="Y39" s="28">
        <f t="shared" si="193"/>
        <v>8033432.3421706595</v>
      </c>
      <c r="Z39" s="28">
        <f t="shared" si="193"/>
        <v>8026953.7677011667</v>
      </c>
      <c r="AA39" s="28">
        <f t="shared" si="193"/>
        <v>8020480.4178885054</v>
      </c>
      <c r="AB39" s="28">
        <f t="shared" si="193"/>
        <v>8014012.2885192391</v>
      </c>
      <c r="AC39" s="28">
        <f t="shared" si="193"/>
        <v>8007549.3753833361</v>
      </c>
      <c r="AD39" s="28">
        <f t="shared" si="193"/>
        <v>8001091.6742741568</v>
      </c>
      <c r="AE39" s="28">
        <f t="shared" si="193"/>
        <v>7994639.1809884505</v>
      </c>
      <c r="AF39" s="28">
        <f t="shared" si="193"/>
        <v>7988191.8913263632</v>
      </c>
      <c r="AG39" s="28">
        <f t="shared" si="193"/>
        <v>7981749.8010914242</v>
      </c>
      <c r="AH39" s="28">
        <f t="shared" si="193"/>
        <v>7975312.9060905417</v>
      </c>
      <c r="AI39" s="28">
        <f t="shared" si="193"/>
        <v>7968881.2021340178</v>
      </c>
      <c r="AJ39" s="28">
        <f t="shared" si="193"/>
        <v>7962454.6850355221</v>
      </c>
      <c r="AK39" s="28">
        <f t="shared" si="193"/>
        <v>7956033.3506121077</v>
      </c>
      <c r="AL39" s="28">
        <f t="shared" si="193"/>
        <v>7949617.1946841925</v>
      </c>
      <c r="AM39" s="28">
        <f t="shared" si="193"/>
        <v>7943206.2130755764</v>
      </c>
      <c r="AN39" s="28">
        <f t="shared" si="193"/>
        <v>7936800.4016134208</v>
      </c>
      <c r="AO39" s="28">
        <f t="shared" si="193"/>
        <v>7930399.7561282469</v>
      </c>
      <c r="AP39" s="28">
        <f t="shared" si="193"/>
        <v>7924004.2724539498</v>
      </c>
      <c r="AQ39" s="28">
        <f t="shared" si="193"/>
        <v>7917613.9464277774</v>
      </c>
      <c r="AR39" s="28">
        <f t="shared" si="193"/>
        <v>7911228.7738903351</v>
      </c>
      <c r="AS39" s="28">
        <f t="shared" si="193"/>
        <v>7904848.7506855829</v>
      </c>
      <c r="AT39" s="28">
        <f t="shared" si="193"/>
        <v>7898473.8726608371</v>
      </c>
      <c r="AU39" s="28">
        <f t="shared" si="193"/>
        <v>7892104.135666756</v>
      </c>
      <c r="AV39" s="28">
        <f t="shared" si="193"/>
        <v>7885739.5355573473</v>
      </c>
      <c r="AW39" s="28">
        <f t="shared" si="193"/>
        <v>7879380.0681899637</v>
      </c>
      <c r="AX39" s="28">
        <f t="shared" si="193"/>
        <v>7873025.7294252925</v>
      </c>
      <c r="AY39" s="28">
        <f t="shared" si="193"/>
        <v>7866676.5151273701</v>
      </c>
      <c r="AZ39" s="28">
        <f t="shared" si="193"/>
        <v>7860332.4211635571</v>
      </c>
      <c r="BA39" s="28">
        <f t="shared" si="193"/>
        <v>7853993.4434045525</v>
      </c>
      <c r="BB39" s="28">
        <f t="shared" si="193"/>
        <v>7847659.5777243879</v>
      </c>
      <c r="BC39" s="28">
        <f t="shared" si="193"/>
        <v>7841330.8200004147</v>
      </c>
      <c r="BD39" s="28">
        <f t="shared" si="193"/>
        <v>7835007.1661133189</v>
      </c>
      <c r="BE39" s="28">
        <f t="shared" si="193"/>
        <v>7828688.6119470978</v>
      </c>
      <c r="BF39" s="28">
        <f t="shared" si="193"/>
        <v>7822375.1533890767</v>
      </c>
      <c r="BG39" s="28">
        <f t="shared" si="193"/>
        <v>7816066.7863298925</v>
      </c>
      <c r="BH39" s="28">
        <f t="shared" si="193"/>
        <v>7809763.5066634957</v>
      </c>
      <c r="BI39" s="28">
        <f t="shared" si="193"/>
        <v>7803465.3102871543</v>
      </c>
      <c r="BJ39" s="28">
        <f t="shared" si="193"/>
        <v>7797172.1931014387</v>
      </c>
      <c r="BK39" s="28">
        <f t="shared" si="193"/>
        <v>7790884.1510102265</v>
      </c>
      <c r="BL39" s="28">
        <f t="shared" si="193"/>
        <v>7784601.1799207022</v>
      </c>
      <c r="BM39" s="28">
        <f t="shared" si="193"/>
        <v>7778323.2757433457</v>
      </c>
      <c r="BN39" s="28">
        <f t="shared" si="193"/>
        <v>7772050.4343919409</v>
      </c>
      <c r="BO39" s="28">
        <f t="shared" si="193"/>
        <v>7765782.6517835604</v>
      </c>
      <c r="BP39" s="28">
        <f>+SUM(E39:BO39)</f>
        <v>501688629.64016235</v>
      </c>
      <c r="BQ39" s="10"/>
    </row>
    <row r="40" spans="1:69">
      <c r="D40" t="s">
        <v>104</v>
      </c>
      <c r="E40" s="21">
        <f>(SUM(E38:BO38))</f>
        <v>804465.43349204678</v>
      </c>
      <c r="F40" s="21">
        <f>SUM(E50:BO50)</f>
        <v>767311.61835981021</v>
      </c>
    </row>
    <row r="42" spans="1:69" ht="15">
      <c r="A42" s="1" t="s">
        <v>89</v>
      </c>
      <c r="B42" t="s">
        <v>28</v>
      </c>
    </row>
    <row r="43" spans="1:69" ht="15">
      <c r="A43" s="1" t="s">
        <v>90</v>
      </c>
      <c r="B43" s="1">
        <v>35665</v>
      </c>
      <c r="C43" s="1"/>
    </row>
    <row r="44" spans="1:69" ht="15">
      <c r="A44" s="1" t="s">
        <v>91</v>
      </c>
      <c r="B44" s="23">
        <v>0.04</v>
      </c>
      <c r="C44" s="20">
        <f>+B44/62</f>
        <v>6.4516129032258064E-4</v>
      </c>
      <c r="D44" s="18" t="s">
        <v>48</v>
      </c>
      <c r="E44" s="24">
        <v>18</v>
      </c>
      <c r="F44" s="24">
        <v>19</v>
      </c>
      <c r="G44" s="24">
        <v>20</v>
      </c>
      <c r="H44" s="24">
        <v>21</v>
      </c>
      <c r="I44" s="24">
        <v>22</v>
      </c>
      <c r="J44" s="24">
        <v>23</v>
      </c>
      <c r="K44" s="24">
        <v>24</v>
      </c>
      <c r="L44" s="24">
        <v>25</v>
      </c>
      <c r="M44" s="24">
        <v>26</v>
      </c>
      <c r="N44" s="24">
        <v>27</v>
      </c>
      <c r="O44" s="24">
        <v>28</v>
      </c>
      <c r="P44" s="24">
        <v>29</v>
      </c>
      <c r="Q44" s="24">
        <v>30</v>
      </c>
      <c r="R44" s="24">
        <v>31</v>
      </c>
      <c r="S44" s="24">
        <v>32</v>
      </c>
      <c r="T44" s="24">
        <v>33</v>
      </c>
      <c r="U44" s="24">
        <v>34</v>
      </c>
      <c r="V44" s="24">
        <v>35</v>
      </c>
      <c r="W44" s="24">
        <v>36</v>
      </c>
      <c r="X44" s="24">
        <v>37</v>
      </c>
      <c r="Y44" s="24">
        <v>38</v>
      </c>
      <c r="Z44" s="24">
        <v>39</v>
      </c>
      <c r="AA44" s="24">
        <v>40</v>
      </c>
      <c r="AB44" s="24">
        <v>41</v>
      </c>
      <c r="AC44" s="24">
        <v>42</v>
      </c>
      <c r="AD44" s="24">
        <v>43</v>
      </c>
      <c r="AE44" s="24">
        <v>44</v>
      </c>
      <c r="AF44" s="24">
        <v>45</v>
      </c>
      <c r="AG44" s="24">
        <v>46</v>
      </c>
      <c r="AH44" s="24">
        <v>47</v>
      </c>
      <c r="AI44" s="24">
        <v>48</v>
      </c>
      <c r="AJ44" s="24">
        <v>49</v>
      </c>
      <c r="AK44" s="24">
        <v>50</v>
      </c>
      <c r="AL44" s="24">
        <v>51</v>
      </c>
      <c r="AM44" s="24">
        <v>52</v>
      </c>
      <c r="AN44" s="24">
        <v>53</v>
      </c>
      <c r="AO44" s="24">
        <v>54</v>
      </c>
      <c r="AP44" s="24">
        <v>55</v>
      </c>
      <c r="AQ44" s="24">
        <v>56</v>
      </c>
      <c r="AR44" s="24">
        <v>57</v>
      </c>
      <c r="AS44" s="24">
        <v>58</v>
      </c>
      <c r="AT44" s="24">
        <v>59</v>
      </c>
      <c r="AU44" s="24">
        <v>60</v>
      </c>
      <c r="AV44" s="24">
        <v>61</v>
      </c>
      <c r="AW44" s="24">
        <v>62</v>
      </c>
      <c r="AX44" s="24">
        <v>63</v>
      </c>
      <c r="AY44" s="24">
        <v>64</v>
      </c>
      <c r="AZ44" s="24">
        <v>65</v>
      </c>
      <c r="BA44" s="24">
        <v>66</v>
      </c>
      <c r="BB44" s="24">
        <v>67</v>
      </c>
      <c r="BC44" s="24">
        <v>68</v>
      </c>
      <c r="BD44" s="24">
        <v>69</v>
      </c>
      <c r="BE44" s="24">
        <v>70</v>
      </c>
      <c r="BF44" s="24">
        <v>71</v>
      </c>
      <c r="BG44" s="24">
        <v>72</v>
      </c>
      <c r="BH44" s="24">
        <v>73</v>
      </c>
      <c r="BI44" s="24">
        <v>74</v>
      </c>
      <c r="BJ44" s="24">
        <v>75</v>
      </c>
      <c r="BK44" s="24">
        <v>76</v>
      </c>
      <c r="BL44" s="24">
        <v>77</v>
      </c>
      <c r="BM44" s="24">
        <v>78</v>
      </c>
      <c r="BN44" s="24">
        <v>79</v>
      </c>
      <c r="BO44" s="24">
        <v>80</v>
      </c>
      <c r="BP44" s="24" t="s">
        <v>92</v>
      </c>
    </row>
    <row r="45" spans="1:69" ht="15">
      <c r="A45" s="1" t="s">
        <v>93</v>
      </c>
      <c r="B45" s="1">
        <v>62.02</v>
      </c>
      <c r="D45" s="18" t="s">
        <v>90</v>
      </c>
      <c r="E45" s="25">
        <f>+B43</f>
        <v>35665</v>
      </c>
      <c r="F45" s="26">
        <f>+E47</f>
        <v>35641.990322580648</v>
      </c>
      <c r="G45" s="26">
        <f>+F47</f>
        <v>35618.995490114467</v>
      </c>
      <c r="H45" s="26">
        <f>+G47</f>
        <v>35596.015493024068</v>
      </c>
      <c r="I45" s="26">
        <f t="shared" ref="I45" si="194">+H47</f>
        <v>35573.050321738243</v>
      </c>
      <c r="J45" s="26">
        <f t="shared" ref="J45" si="195">+I47</f>
        <v>35550.09996669196</v>
      </c>
      <c r="K45" s="26">
        <f t="shared" ref="K45" si="196">+J47</f>
        <v>35527.164418326349</v>
      </c>
      <c r="L45" s="26">
        <f t="shared" ref="L45" si="197">+K47</f>
        <v>35504.243667088718</v>
      </c>
      <c r="M45" s="26">
        <f t="shared" ref="M45" si="198">+L47</f>
        <v>35481.337703432531</v>
      </c>
      <c r="N45" s="26">
        <f t="shared" ref="N45" si="199">+M47</f>
        <v>35458.446517817414</v>
      </c>
      <c r="O45" s="26">
        <f t="shared" ref="O45" si="200">+N47</f>
        <v>35435.570100709148</v>
      </c>
      <c r="P45" s="26">
        <f t="shared" ref="P45" si="201">+O47</f>
        <v>35412.708442579657</v>
      </c>
      <c r="Q45" s="26">
        <f t="shared" ref="Q45" si="202">+P47</f>
        <v>35389.861533907024</v>
      </c>
      <c r="R45" s="26">
        <f t="shared" ref="R45" si="203">+Q47</f>
        <v>35367.029365175469</v>
      </c>
      <c r="S45" s="26">
        <f t="shared" ref="S45" si="204">+R47</f>
        <v>35344.211926875359</v>
      </c>
      <c r="T45" s="26">
        <f t="shared" ref="T45" si="205">+S47</f>
        <v>35321.409209503181</v>
      </c>
      <c r="U45" s="26">
        <f t="shared" ref="U45" si="206">+T47</f>
        <v>35298.621203561568</v>
      </c>
      <c r="V45" s="26">
        <f t="shared" ref="V45" si="207">+U47</f>
        <v>35275.847899559267</v>
      </c>
      <c r="W45" s="26">
        <f t="shared" ref="W45" si="208">+V47</f>
        <v>35253.089288011164</v>
      </c>
      <c r="X45" s="26">
        <f t="shared" ref="X45" si="209">+W47</f>
        <v>35230.345359438252</v>
      </c>
      <c r="Y45" s="26">
        <f t="shared" ref="Y45" si="210">+X47</f>
        <v>35207.616104367647</v>
      </c>
      <c r="Z45" s="26">
        <f t="shared" ref="Z45" si="211">+Y47</f>
        <v>35184.901513332574</v>
      </c>
      <c r="AA45" s="26">
        <f t="shared" ref="AA45" si="212">+Z47</f>
        <v>35162.201576872358</v>
      </c>
      <c r="AB45" s="26">
        <f t="shared" ref="AB45" si="213">+AA47</f>
        <v>35139.516285532438</v>
      </c>
      <c r="AC45" s="26">
        <f t="shared" ref="AC45" si="214">+AB47</f>
        <v>35116.84562986435</v>
      </c>
      <c r="AD45" s="26">
        <f t="shared" ref="AD45" si="215">+AC47</f>
        <v>35094.189600425729</v>
      </c>
      <c r="AE45" s="26">
        <f>+AD47</f>
        <v>35071.548187780296</v>
      </c>
      <c r="AF45" s="26">
        <f t="shared" ref="AF45" si="216">+AE47</f>
        <v>35048.921382497858</v>
      </c>
      <c r="AG45" s="26">
        <f t="shared" ref="AG45" si="217">+AF47</f>
        <v>35026.309175154311</v>
      </c>
      <c r="AH45" s="26">
        <f t="shared" ref="AH45" si="218">+AG47</f>
        <v>35003.711556331633</v>
      </c>
      <c r="AI45" s="26">
        <f t="shared" ref="AI45" si="219">+AH47</f>
        <v>34981.128516617871</v>
      </c>
      <c r="AJ45" s="26">
        <f t="shared" ref="AJ45" si="220">+AI47</f>
        <v>34958.560046607148</v>
      </c>
      <c r="AK45" s="26">
        <f t="shared" ref="AK45" si="221">+AJ47</f>
        <v>34936.006136899661</v>
      </c>
      <c r="AL45" s="26">
        <f t="shared" ref="AL45" si="222">+AK47</f>
        <v>34913.466778101661</v>
      </c>
      <c r="AM45" s="26">
        <f t="shared" ref="AM45" si="223">+AL47</f>
        <v>34890.941960825468</v>
      </c>
      <c r="AN45" s="26">
        <f t="shared" ref="AN45" si="224">+AM47</f>
        <v>34868.431675689455</v>
      </c>
      <c r="AO45" s="26">
        <f t="shared" ref="AO45" si="225">+AN47</f>
        <v>34845.935913318041</v>
      </c>
      <c r="AP45" s="26">
        <f t="shared" ref="AP45" si="226">+AO47</f>
        <v>34823.454664341705</v>
      </c>
      <c r="AQ45" s="26">
        <f t="shared" ref="AQ45" si="227">+AP47</f>
        <v>34800.987919396968</v>
      </c>
      <c r="AR45" s="26">
        <f t="shared" ref="AR45" si="228">+AQ47</f>
        <v>34778.535669126388</v>
      </c>
      <c r="AS45" s="26">
        <f t="shared" ref="AS45" si="229">+AR47</f>
        <v>34756.097904178561</v>
      </c>
      <c r="AT45" s="26">
        <f t="shared" ref="AT45" si="230">+AS47</f>
        <v>34733.674615208125</v>
      </c>
      <c r="AU45" s="26">
        <f t="shared" ref="AU45" si="231">+AT47</f>
        <v>34711.265792875733</v>
      </c>
      <c r="AV45" s="26">
        <f t="shared" ref="AV45" si="232">+AU47</f>
        <v>34688.871427848069</v>
      </c>
      <c r="AW45" s="26">
        <f t="shared" ref="AW45" si="233">+AV47</f>
        <v>34666.491510797845</v>
      </c>
      <c r="AX45" s="26">
        <f t="shared" ref="AX45" si="234">+AW47</f>
        <v>34644.126032403779</v>
      </c>
      <c r="AY45" s="26">
        <f t="shared" ref="AY45" si="235">+AX47</f>
        <v>34621.774983350617</v>
      </c>
      <c r="AZ45" s="26">
        <f t="shared" ref="AZ45" si="236">+AY47</f>
        <v>34599.438354329097</v>
      </c>
      <c r="BA45" s="26">
        <f t="shared" ref="BA45" si="237">+AZ47</f>
        <v>34577.116136035984</v>
      </c>
      <c r="BB45" s="26">
        <f t="shared" ref="BB45" si="238">+BA47</f>
        <v>34554.808319174022</v>
      </c>
      <c r="BC45" s="26">
        <f t="shared" ref="BC45" si="239">+BB47</f>
        <v>34532.514894451975</v>
      </c>
      <c r="BD45" s="26">
        <f t="shared" ref="BD45" si="240">+BC47</f>
        <v>34510.235852584585</v>
      </c>
      <c r="BE45" s="26">
        <f t="shared" ref="BE45" si="241">+BD47</f>
        <v>34487.971184292597</v>
      </c>
      <c r="BF45" s="26">
        <f t="shared" ref="BF45" si="242">+BE47</f>
        <v>34465.720880302732</v>
      </c>
      <c r="BG45" s="26">
        <f t="shared" ref="BG45" si="243">+BF47</f>
        <v>34443.484931347695</v>
      </c>
      <c r="BH45" s="26">
        <f t="shared" ref="BH45" si="244">+BG47</f>
        <v>34421.263328166184</v>
      </c>
      <c r="BI45" s="26">
        <f t="shared" ref="BI45" si="245">+BH47</f>
        <v>34399.056061502852</v>
      </c>
      <c r="BJ45" s="26">
        <f t="shared" ref="BJ45" si="246">+BI47</f>
        <v>34376.863122108334</v>
      </c>
      <c r="BK45" s="26">
        <f t="shared" ref="BK45" si="247">+BJ47</f>
        <v>34354.684500739233</v>
      </c>
      <c r="BL45" s="26">
        <f t="shared" ref="BL45" si="248">+BK47</f>
        <v>34332.520188158109</v>
      </c>
      <c r="BM45" s="26">
        <f t="shared" ref="BM45" si="249">+BL47</f>
        <v>34310.370175133488</v>
      </c>
      <c r="BN45" s="26">
        <f t="shared" ref="BN45" si="250">+BM47</f>
        <v>34288.23445243985</v>
      </c>
      <c r="BO45" s="26">
        <f t="shared" ref="BO45" si="251">+BN47</f>
        <v>34266.113010857633</v>
      </c>
      <c r="BP45" s="26">
        <f>+BO47</f>
        <v>34244.00584117321</v>
      </c>
    </row>
    <row r="46" spans="1:69" ht="15">
      <c r="A46" s="1" t="s">
        <v>94</v>
      </c>
      <c r="B46" s="22">
        <v>0.80245</v>
      </c>
      <c r="C46">
        <v>1</v>
      </c>
      <c r="D46" s="18" t="s">
        <v>91</v>
      </c>
      <c r="E46" s="26">
        <f>+(E45*$C$44)*$C$46</f>
        <v>23.009677419354837</v>
      </c>
      <c r="F46" s="26">
        <f t="shared" ref="F46:BO46" si="252">+(F45*$C$44)*$C$46</f>
        <v>22.994832466181062</v>
      </c>
      <c r="G46" s="26">
        <f t="shared" si="252"/>
        <v>22.979997090396431</v>
      </c>
      <c r="H46" s="26">
        <f t="shared" si="252"/>
        <v>22.965171285821981</v>
      </c>
      <c r="I46" s="26">
        <f t="shared" si="252"/>
        <v>22.950355046282738</v>
      </c>
      <c r="J46" s="26">
        <f t="shared" si="252"/>
        <v>22.935548365607715</v>
      </c>
      <c r="K46" s="26">
        <f t="shared" si="252"/>
        <v>22.920751237629901</v>
      </c>
      <c r="L46" s="26">
        <f t="shared" si="252"/>
        <v>22.90596365618627</v>
      </c>
      <c r="M46" s="26">
        <f t="shared" si="252"/>
        <v>22.891185615117763</v>
      </c>
      <c r="N46" s="26">
        <f t="shared" si="252"/>
        <v>22.876417108269301</v>
      </c>
      <c r="O46" s="26">
        <f t="shared" si="252"/>
        <v>22.861658129489772</v>
      </c>
      <c r="P46" s="26">
        <f t="shared" si="252"/>
        <v>22.846908672632036</v>
      </c>
      <c r="Q46" s="26">
        <f t="shared" si="252"/>
        <v>22.832168731552919</v>
      </c>
      <c r="R46" s="26">
        <f t="shared" si="252"/>
        <v>22.817438300113206</v>
      </c>
      <c r="S46" s="26">
        <f t="shared" si="252"/>
        <v>22.80271737217765</v>
      </c>
      <c r="T46" s="26">
        <f t="shared" si="252"/>
        <v>22.788005941614955</v>
      </c>
      <c r="U46" s="26">
        <f t="shared" si="252"/>
        <v>22.773304002297785</v>
      </c>
      <c r="V46" s="26">
        <f t="shared" si="252"/>
        <v>22.758611548102753</v>
      </c>
      <c r="W46" s="26">
        <f t="shared" si="252"/>
        <v>22.743928572910427</v>
      </c>
      <c r="X46" s="26">
        <f t="shared" si="252"/>
        <v>22.729255070605323</v>
      </c>
      <c r="Y46" s="26">
        <f t="shared" si="252"/>
        <v>22.714591035075902</v>
      </c>
      <c r="Z46" s="26">
        <f t="shared" si="252"/>
        <v>22.699936460214563</v>
      </c>
      <c r="AA46" s="26">
        <f t="shared" si="252"/>
        <v>22.685291339917651</v>
      </c>
      <c r="AB46" s="26">
        <f t="shared" si="252"/>
        <v>22.670655668085445</v>
      </c>
      <c r="AC46" s="26">
        <f t="shared" si="252"/>
        <v>22.656029438622163</v>
      </c>
      <c r="AD46" s="26">
        <f t="shared" si="252"/>
        <v>22.641412645435953</v>
      </c>
      <c r="AE46" s="26">
        <f t="shared" si="252"/>
        <v>22.626805282438902</v>
      </c>
      <c r="AF46" s="26">
        <f t="shared" si="252"/>
        <v>22.612207343547006</v>
      </c>
      <c r="AG46" s="26">
        <f t="shared" si="252"/>
        <v>22.5976188226802</v>
      </c>
      <c r="AH46" s="26">
        <f t="shared" si="252"/>
        <v>22.583039713762343</v>
      </c>
      <c r="AI46" s="26">
        <f t="shared" si="252"/>
        <v>22.568470010721207</v>
      </c>
      <c r="AJ46" s="26">
        <f t="shared" si="252"/>
        <v>22.553909707488483</v>
      </c>
      <c r="AK46" s="26">
        <f t="shared" si="252"/>
        <v>22.539358797999782</v>
      </c>
      <c r="AL46" s="26">
        <f t="shared" si="252"/>
        <v>22.524817276194621</v>
      </c>
      <c r="AM46" s="26">
        <f t="shared" si="252"/>
        <v>22.510285136016432</v>
      </c>
      <c r="AN46" s="26">
        <f t="shared" si="252"/>
        <v>22.495762371412553</v>
      </c>
      <c r="AO46" s="26">
        <f t="shared" si="252"/>
        <v>22.481248976334221</v>
      </c>
      <c r="AP46" s="26">
        <f t="shared" si="252"/>
        <v>22.466744944736583</v>
      </c>
      <c r="AQ46" s="26">
        <f t="shared" si="252"/>
        <v>22.452250270578688</v>
      </c>
      <c r="AR46" s="26">
        <f t="shared" si="252"/>
        <v>22.437764947823474</v>
      </c>
      <c r="AS46" s="26">
        <f t="shared" si="252"/>
        <v>22.423288970437781</v>
      </c>
      <c r="AT46" s="26">
        <f t="shared" si="252"/>
        <v>22.40882233239234</v>
      </c>
      <c r="AU46" s="26">
        <f t="shared" si="252"/>
        <v>22.394365027661763</v>
      </c>
      <c r="AV46" s="26">
        <f t="shared" si="252"/>
        <v>22.379917050224559</v>
      </c>
      <c r="AW46" s="26">
        <f t="shared" si="252"/>
        <v>22.365478394063125</v>
      </c>
      <c r="AX46" s="26">
        <f t="shared" si="252"/>
        <v>22.351049053163727</v>
      </c>
      <c r="AY46" s="26">
        <f t="shared" si="252"/>
        <v>22.336629021516526</v>
      </c>
      <c r="AZ46" s="26">
        <f t="shared" si="252"/>
        <v>22.322218293115547</v>
      </c>
      <c r="BA46" s="26">
        <f t="shared" si="252"/>
        <v>22.307816861958699</v>
      </c>
      <c r="BB46" s="26">
        <f t="shared" si="252"/>
        <v>22.293424722047757</v>
      </c>
      <c r="BC46" s="26">
        <f t="shared" si="252"/>
        <v>22.279041867388372</v>
      </c>
      <c r="BD46" s="26">
        <f t="shared" si="252"/>
        <v>22.264668291990056</v>
      </c>
      <c r="BE46" s="26">
        <f t="shared" si="252"/>
        <v>22.250303989866193</v>
      </c>
      <c r="BF46" s="26">
        <f t="shared" si="252"/>
        <v>22.235948955034019</v>
      </c>
      <c r="BG46" s="26">
        <f t="shared" si="252"/>
        <v>22.221603181514642</v>
      </c>
      <c r="BH46" s="26">
        <f t="shared" si="252"/>
        <v>22.207266663333023</v>
      </c>
      <c r="BI46" s="26">
        <f t="shared" si="252"/>
        <v>22.192939394517968</v>
      </c>
      <c r="BJ46" s="26">
        <f t="shared" si="252"/>
        <v>22.178621369102149</v>
      </c>
      <c r="BK46" s="26">
        <f t="shared" si="252"/>
        <v>22.164312581122086</v>
      </c>
      <c r="BL46" s="26">
        <f t="shared" si="252"/>
        <v>22.150013024618136</v>
      </c>
      <c r="BM46" s="26">
        <f t="shared" si="252"/>
        <v>22.135722693634509</v>
      </c>
      <c r="BN46" s="26">
        <f t="shared" si="252"/>
        <v>22.121441582219258</v>
      </c>
      <c r="BO46" s="26">
        <f t="shared" si="252"/>
        <v>22.107169684424278</v>
      </c>
      <c r="BP46" s="26">
        <f>+SUM(E46:BO46)</f>
        <v>1420.9941588267768</v>
      </c>
    </row>
    <row r="47" spans="1:69" ht="15">
      <c r="A47" s="1" t="s">
        <v>95</v>
      </c>
      <c r="B47" s="1">
        <v>108.68</v>
      </c>
      <c r="D47" s="18" t="s">
        <v>96</v>
      </c>
      <c r="E47" s="26">
        <f>+E45-E46</f>
        <v>35641.990322580648</v>
      </c>
      <c r="F47" s="26">
        <f t="shared" ref="F47:BO47" si="253">+F45-F46</f>
        <v>35618.995490114467</v>
      </c>
      <c r="G47" s="26">
        <f t="shared" si="253"/>
        <v>35596.015493024068</v>
      </c>
      <c r="H47" s="26">
        <f t="shared" si="253"/>
        <v>35573.050321738243</v>
      </c>
      <c r="I47" s="26">
        <f t="shared" si="253"/>
        <v>35550.09996669196</v>
      </c>
      <c r="J47" s="26">
        <f t="shared" si="253"/>
        <v>35527.164418326349</v>
      </c>
      <c r="K47" s="26">
        <f t="shared" si="253"/>
        <v>35504.243667088718</v>
      </c>
      <c r="L47" s="26">
        <f t="shared" si="253"/>
        <v>35481.337703432531</v>
      </c>
      <c r="M47" s="26">
        <f t="shared" si="253"/>
        <v>35458.446517817414</v>
      </c>
      <c r="N47" s="26">
        <f t="shared" si="253"/>
        <v>35435.570100709148</v>
      </c>
      <c r="O47" s="26">
        <f t="shared" si="253"/>
        <v>35412.708442579657</v>
      </c>
      <c r="P47" s="26">
        <f t="shared" si="253"/>
        <v>35389.861533907024</v>
      </c>
      <c r="Q47" s="26">
        <f t="shared" si="253"/>
        <v>35367.029365175469</v>
      </c>
      <c r="R47" s="26">
        <f t="shared" si="253"/>
        <v>35344.211926875359</v>
      </c>
      <c r="S47" s="26">
        <f t="shared" si="253"/>
        <v>35321.409209503181</v>
      </c>
      <c r="T47" s="26">
        <f t="shared" si="253"/>
        <v>35298.621203561568</v>
      </c>
      <c r="U47" s="26">
        <f t="shared" si="253"/>
        <v>35275.847899559267</v>
      </c>
      <c r="V47" s="26">
        <f t="shared" si="253"/>
        <v>35253.089288011164</v>
      </c>
      <c r="W47" s="26">
        <f t="shared" si="253"/>
        <v>35230.345359438252</v>
      </c>
      <c r="X47" s="26">
        <f t="shared" si="253"/>
        <v>35207.616104367647</v>
      </c>
      <c r="Y47" s="26">
        <f t="shared" si="253"/>
        <v>35184.901513332574</v>
      </c>
      <c r="Z47" s="26">
        <f t="shared" si="253"/>
        <v>35162.201576872358</v>
      </c>
      <c r="AA47" s="26">
        <f t="shared" si="253"/>
        <v>35139.516285532438</v>
      </c>
      <c r="AB47" s="26">
        <f t="shared" si="253"/>
        <v>35116.84562986435</v>
      </c>
      <c r="AC47" s="26">
        <f t="shared" si="253"/>
        <v>35094.189600425729</v>
      </c>
      <c r="AD47" s="26">
        <f t="shared" si="253"/>
        <v>35071.548187780296</v>
      </c>
      <c r="AE47" s="26">
        <f t="shared" si="253"/>
        <v>35048.921382497858</v>
      </c>
      <c r="AF47" s="26">
        <f t="shared" si="253"/>
        <v>35026.309175154311</v>
      </c>
      <c r="AG47" s="26">
        <f t="shared" si="253"/>
        <v>35003.711556331633</v>
      </c>
      <c r="AH47" s="26">
        <f t="shared" si="253"/>
        <v>34981.128516617871</v>
      </c>
      <c r="AI47" s="26">
        <f t="shared" si="253"/>
        <v>34958.560046607148</v>
      </c>
      <c r="AJ47" s="26">
        <f t="shared" si="253"/>
        <v>34936.006136899661</v>
      </c>
      <c r="AK47" s="26">
        <f t="shared" si="253"/>
        <v>34913.466778101661</v>
      </c>
      <c r="AL47" s="26">
        <f t="shared" si="253"/>
        <v>34890.941960825468</v>
      </c>
      <c r="AM47" s="26">
        <f t="shared" si="253"/>
        <v>34868.431675689455</v>
      </c>
      <c r="AN47" s="26">
        <f t="shared" si="253"/>
        <v>34845.935913318041</v>
      </c>
      <c r="AO47" s="26">
        <f t="shared" si="253"/>
        <v>34823.454664341705</v>
      </c>
      <c r="AP47" s="26">
        <f t="shared" si="253"/>
        <v>34800.987919396968</v>
      </c>
      <c r="AQ47" s="26">
        <f t="shared" si="253"/>
        <v>34778.535669126388</v>
      </c>
      <c r="AR47" s="26">
        <f t="shared" si="253"/>
        <v>34756.097904178561</v>
      </c>
      <c r="AS47" s="26">
        <f t="shared" si="253"/>
        <v>34733.674615208125</v>
      </c>
      <c r="AT47" s="26">
        <f t="shared" si="253"/>
        <v>34711.265792875733</v>
      </c>
      <c r="AU47" s="26">
        <f t="shared" si="253"/>
        <v>34688.871427848069</v>
      </c>
      <c r="AV47" s="26">
        <f t="shared" si="253"/>
        <v>34666.491510797845</v>
      </c>
      <c r="AW47" s="26">
        <f t="shared" si="253"/>
        <v>34644.126032403779</v>
      </c>
      <c r="AX47" s="26">
        <f t="shared" si="253"/>
        <v>34621.774983350617</v>
      </c>
      <c r="AY47" s="26">
        <f t="shared" si="253"/>
        <v>34599.438354329097</v>
      </c>
      <c r="AZ47" s="26">
        <f t="shared" si="253"/>
        <v>34577.116136035984</v>
      </c>
      <c r="BA47" s="26">
        <f t="shared" si="253"/>
        <v>34554.808319174022</v>
      </c>
      <c r="BB47" s="26">
        <f t="shared" si="253"/>
        <v>34532.514894451975</v>
      </c>
      <c r="BC47" s="26">
        <f t="shared" si="253"/>
        <v>34510.235852584585</v>
      </c>
      <c r="BD47" s="26">
        <f t="shared" si="253"/>
        <v>34487.971184292597</v>
      </c>
      <c r="BE47" s="26">
        <f t="shared" si="253"/>
        <v>34465.720880302732</v>
      </c>
      <c r="BF47" s="26">
        <f t="shared" si="253"/>
        <v>34443.484931347695</v>
      </c>
      <c r="BG47" s="26">
        <f t="shared" si="253"/>
        <v>34421.263328166184</v>
      </c>
      <c r="BH47" s="26">
        <f t="shared" si="253"/>
        <v>34399.056061502852</v>
      </c>
      <c r="BI47" s="26">
        <f t="shared" si="253"/>
        <v>34376.863122108334</v>
      </c>
      <c r="BJ47" s="26">
        <f t="shared" si="253"/>
        <v>34354.684500739233</v>
      </c>
      <c r="BK47" s="26">
        <f t="shared" si="253"/>
        <v>34332.520188158109</v>
      </c>
      <c r="BL47" s="26">
        <f t="shared" si="253"/>
        <v>34310.370175133488</v>
      </c>
      <c r="BM47" s="26">
        <f t="shared" si="253"/>
        <v>34288.23445243985</v>
      </c>
      <c r="BN47" s="26">
        <f t="shared" si="253"/>
        <v>34266.113010857633</v>
      </c>
      <c r="BO47" s="26">
        <f t="shared" si="253"/>
        <v>34244.00584117321</v>
      </c>
      <c r="BP47" s="26"/>
    </row>
    <row r="48" spans="1:69" ht="15">
      <c r="A48" s="1" t="s">
        <v>56</v>
      </c>
      <c r="B48" s="11">
        <v>300</v>
      </c>
      <c r="D48" s="18" t="s">
        <v>52</v>
      </c>
      <c r="E48" s="26">
        <f>+((E47*$B$47)*7)/1000</f>
        <v>27115.000557806456</v>
      </c>
      <c r="F48" s="26">
        <f t="shared" ref="F48:BO48" si="254">+((F47*$B$47)*7)/1000</f>
        <v>27097.507009059485</v>
      </c>
      <c r="G48" s="26">
        <f t="shared" si="254"/>
        <v>27080.024746472991</v>
      </c>
      <c r="H48" s="26">
        <f t="shared" si="254"/>
        <v>27062.553762765587</v>
      </c>
      <c r="I48" s="26">
        <f t="shared" si="254"/>
        <v>27045.094050660577</v>
      </c>
      <c r="J48" s="26">
        <f t="shared" si="254"/>
        <v>27027.645602885954</v>
      </c>
      <c r="K48" s="26">
        <f t="shared" si="254"/>
        <v>27010.208412174416</v>
      </c>
      <c r="L48" s="26">
        <f t="shared" si="254"/>
        <v>26992.782471263334</v>
      </c>
      <c r="M48" s="26">
        <f t="shared" si="254"/>
        <v>26975.367772894777</v>
      </c>
      <c r="N48" s="26">
        <f t="shared" si="254"/>
        <v>26957.964309815492</v>
      </c>
      <c r="O48" s="26">
        <f t="shared" si="254"/>
        <v>26940.572074776901</v>
      </c>
      <c r="P48" s="26">
        <f t="shared" si="254"/>
        <v>26923.191060535111</v>
      </c>
      <c r="Q48" s="26">
        <f t="shared" si="254"/>
        <v>26905.821259850894</v>
      </c>
      <c r="R48" s="26">
        <f t="shared" si="254"/>
        <v>26888.4626654897</v>
      </c>
      <c r="S48" s="26">
        <f t="shared" si="254"/>
        <v>26871.115270221642</v>
      </c>
      <c r="T48" s="26">
        <f t="shared" si="254"/>
        <v>26853.779066821502</v>
      </c>
      <c r="U48" s="26">
        <f t="shared" si="254"/>
        <v>26836.45404806871</v>
      </c>
      <c r="V48" s="26">
        <f t="shared" si="254"/>
        <v>26819.140206747375</v>
      </c>
      <c r="W48" s="26">
        <f t="shared" si="254"/>
        <v>26801.837535646249</v>
      </c>
      <c r="X48" s="26">
        <f t="shared" si="254"/>
        <v>26784.546027558732</v>
      </c>
      <c r="Y48" s="26">
        <f t="shared" si="254"/>
        <v>26767.265675282888</v>
      </c>
      <c r="Z48" s="26">
        <f t="shared" si="254"/>
        <v>26749.996471621416</v>
      </c>
      <c r="AA48" s="26">
        <f t="shared" si="254"/>
        <v>26732.738409381662</v>
      </c>
      <c r="AB48" s="26">
        <f t="shared" si="254"/>
        <v>26715.491481375604</v>
      </c>
      <c r="AC48" s="26">
        <f t="shared" si="254"/>
        <v>26698.255680419876</v>
      </c>
      <c r="AD48" s="26">
        <f t="shared" si="254"/>
        <v>26681.03099933574</v>
      </c>
      <c r="AE48" s="26">
        <f t="shared" si="254"/>
        <v>26663.817430949075</v>
      </c>
      <c r="AF48" s="26">
        <f t="shared" si="254"/>
        <v>26646.614968090391</v>
      </c>
      <c r="AG48" s="26">
        <f t="shared" si="254"/>
        <v>26629.423603594856</v>
      </c>
      <c r="AH48" s="26">
        <f t="shared" si="254"/>
        <v>26612.243330302212</v>
      </c>
      <c r="AI48" s="26">
        <f t="shared" si="254"/>
        <v>26595.074141056855</v>
      </c>
      <c r="AJ48" s="26">
        <f t="shared" si="254"/>
        <v>26577.916028707787</v>
      </c>
      <c r="AK48" s="26">
        <f t="shared" si="254"/>
        <v>26560.768986108618</v>
      </c>
      <c r="AL48" s="26">
        <f t="shared" si="254"/>
        <v>26543.633006117587</v>
      </c>
      <c r="AM48" s="26">
        <f t="shared" si="254"/>
        <v>26526.508081597516</v>
      </c>
      <c r="AN48" s="26">
        <f t="shared" si="254"/>
        <v>26509.394205415832</v>
      </c>
      <c r="AO48" s="26">
        <f t="shared" si="254"/>
        <v>26492.291370444596</v>
      </c>
      <c r="AP48" s="26">
        <f t="shared" si="254"/>
        <v>26475.199569560438</v>
      </c>
      <c r="AQ48" s="26">
        <f t="shared" si="254"/>
        <v>26458.118795644594</v>
      </c>
      <c r="AR48" s="26">
        <f t="shared" si="254"/>
        <v>26441.049041582883</v>
      </c>
      <c r="AS48" s="26">
        <f t="shared" si="254"/>
        <v>26423.990300265737</v>
      </c>
      <c r="AT48" s="26">
        <f t="shared" si="254"/>
        <v>26406.942564588146</v>
      </c>
      <c r="AU48" s="26">
        <f t="shared" si="254"/>
        <v>26389.905827449697</v>
      </c>
      <c r="AV48" s="26">
        <f t="shared" si="254"/>
        <v>26372.880081754574</v>
      </c>
      <c r="AW48" s="26">
        <f t="shared" si="254"/>
        <v>26355.865320411503</v>
      </c>
      <c r="AX48" s="26">
        <f t="shared" si="254"/>
        <v>26338.861536333818</v>
      </c>
      <c r="AY48" s="26">
        <f t="shared" si="254"/>
        <v>26321.868722439405</v>
      </c>
      <c r="AZ48" s="26">
        <f t="shared" si="254"/>
        <v>26304.886871650735</v>
      </c>
      <c r="BA48" s="26">
        <f t="shared" si="254"/>
        <v>26287.91597689483</v>
      </c>
      <c r="BB48" s="26">
        <f t="shared" si="254"/>
        <v>26270.956031103287</v>
      </c>
      <c r="BC48" s="26">
        <f t="shared" si="254"/>
        <v>26254.00702721225</v>
      </c>
      <c r="BD48" s="26">
        <f t="shared" si="254"/>
        <v>26237.068958162439</v>
      </c>
      <c r="BE48" s="26">
        <f t="shared" si="254"/>
        <v>26220.141816899111</v>
      </c>
      <c r="BF48" s="26">
        <f t="shared" si="254"/>
        <v>26203.225596372071</v>
      </c>
      <c r="BG48" s="26">
        <f t="shared" si="254"/>
        <v>26186.32028953571</v>
      </c>
      <c r="BH48" s="26">
        <f t="shared" si="254"/>
        <v>26169.42588934891</v>
      </c>
      <c r="BI48" s="26">
        <f t="shared" si="254"/>
        <v>26152.542388775135</v>
      </c>
      <c r="BJ48" s="26">
        <f t="shared" si="254"/>
        <v>26135.66978078238</v>
      </c>
      <c r="BK48" s="26">
        <f t="shared" si="254"/>
        <v>26118.808058343166</v>
      </c>
      <c r="BL48" s="26">
        <f t="shared" si="254"/>
        <v>26101.957214434551</v>
      </c>
      <c r="BM48" s="26">
        <f t="shared" si="254"/>
        <v>26085.117242038144</v>
      </c>
      <c r="BN48" s="26">
        <f t="shared" si="254"/>
        <v>26068.288134140053</v>
      </c>
      <c r="BO48" s="26">
        <f t="shared" si="254"/>
        <v>26051.469883730933</v>
      </c>
      <c r="BP48" s="26">
        <f>+SUM(E48:BO48)</f>
        <v>1674524.0147007732</v>
      </c>
    </row>
    <row r="49" spans="3:69">
      <c r="C49">
        <v>1</v>
      </c>
      <c r="D49" s="18" t="s">
        <v>97</v>
      </c>
      <c r="E49" s="26">
        <f>+((E45*$B$46)*7)*$C$49</f>
        <v>200335.65474999999</v>
      </c>
      <c r="F49" s="26">
        <f t="shared" ref="F49:BO49" si="255">+(F45*$B$46)*7</f>
        <v>200206.40594048388</v>
      </c>
      <c r="G49" s="26">
        <f t="shared" si="255"/>
        <v>200077.24051729648</v>
      </c>
      <c r="H49" s="26">
        <f t="shared" si="255"/>
        <v>199948.15842664015</v>
      </c>
      <c r="I49" s="26">
        <f t="shared" si="255"/>
        <v>199819.15961475196</v>
      </c>
      <c r="J49" s="26">
        <f t="shared" si="255"/>
        <v>199690.24402790374</v>
      </c>
      <c r="K49" s="26">
        <f t="shared" si="255"/>
        <v>199561.41161240183</v>
      </c>
      <c r="L49" s="26">
        <f t="shared" si="255"/>
        <v>199432.66231458739</v>
      </c>
      <c r="M49" s="26">
        <f t="shared" si="255"/>
        <v>199303.99608083605</v>
      </c>
      <c r="N49" s="26">
        <f t="shared" si="255"/>
        <v>199175.41285755808</v>
      </c>
      <c r="O49" s="26">
        <f t="shared" si="255"/>
        <v>199046.9125911984</v>
      </c>
      <c r="P49" s="26">
        <f t="shared" si="255"/>
        <v>198918.49522823631</v>
      </c>
      <c r="Q49" s="26">
        <f t="shared" si="255"/>
        <v>198790.16071518583</v>
      </c>
      <c r="R49" s="26">
        <f t="shared" si="255"/>
        <v>198661.90899859538</v>
      </c>
      <c r="S49" s="26">
        <f t="shared" si="255"/>
        <v>198533.74002504791</v>
      </c>
      <c r="T49" s="26">
        <f t="shared" si="255"/>
        <v>198405.65374116079</v>
      </c>
      <c r="U49" s="26">
        <f t="shared" si="255"/>
        <v>198277.65009358586</v>
      </c>
      <c r="V49" s="26">
        <f t="shared" si="255"/>
        <v>198149.72902900932</v>
      </c>
      <c r="W49" s="26">
        <f t="shared" si="255"/>
        <v>198021.89049415191</v>
      </c>
      <c r="X49" s="26">
        <f t="shared" si="255"/>
        <v>197894.13443576859</v>
      </c>
      <c r="Y49" s="26">
        <f t="shared" si="255"/>
        <v>197766.46080064873</v>
      </c>
      <c r="Z49" s="26">
        <f t="shared" si="255"/>
        <v>197638.86953561608</v>
      </c>
      <c r="AA49" s="26">
        <f t="shared" si="255"/>
        <v>197511.36058752859</v>
      </c>
      <c r="AB49" s="26">
        <f t="shared" si="255"/>
        <v>197383.93390327852</v>
      </c>
      <c r="AC49" s="26">
        <f t="shared" si="255"/>
        <v>197256.58942979254</v>
      </c>
      <c r="AD49" s="26">
        <f t="shared" si="255"/>
        <v>197129.32711403139</v>
      </c>
      <c r="AE49" s="26">
        <f t="shared" si="255"/>
        <v>197002.14690299009</v>
      </c>
      <c r="AF49" s="26">
        <f t="shared" si="255"/>
        <v>196875.04874369784</v>
      </c>
      <c r="AG49" s="26">
        <f t="shared" si="255"/>
        <v>196748.03258321804</v>
      </c>
      <c r="AH49" s="26">
        <f t="shared" si="255"/>
        <v>196621.09836864824</v>
      </c>
      <c r="AI49" s="26">
        <f t="shared" si="255"/>
        <v>196494.24604712008</v>
      </c>
      <c r="AJ49" s="26">
        <f t="shared" si="255"/>
        <v>196367.47556579934</v>
      </c>
      <c r="AK49" s="26">
        <f t="shared" si="255"/>
        <v>196240.78687188594</v>
      </c>
      <c r="AL49" s="26">
        <f t="shared" si="255"/>
        <v>196114.17991261376</v>
      </c>
      <c r="AM49" s="26">
        <f t="shared" si="255"/>
        <v>195987.65463525077</v>
      </c>
      <c r="AN49" s="26">
        <f t="shared" si="255"/>
        <v>195861.21098709901</v>
      </c>
      <c r="AO49" s="26">
        <f t="shared" si="255"/>
        <v>195734.84891549443</v>
      </c>
      <c r="AP49" s="26">
        <f t="shared" si="255"/>
        <v>195608.56836780702</v>
      </c>
      <c r="AQ49" s="26">
        <f t="shared" si="255"/>
        <v>195482.36929144067</v>
      </c>
      <c r="AR49" s="26">
        <f t="shared" si="255"/>
        <v>195356.25163383328</v>
      </c>
      <c r="AS49" s="26">
        <f t="shared" si="255"/>
        <v>195230.21534245662</v>
      </c>
      <c r="AT49" s="26">
        <f t="shared" si="255"/>
        <v>195104.26036481632</v>
      </c>
      <c r="AU49" s="26">
        <f t="shared" si="255"/>
        <v>194978.38664845191</v>
      </c>
      <c r="AV49" s="26">
        <f t="shared" si="255"/>
        <v>194852.5941409368</v>
      </c>
      <c r="AW49" s="26">
        <f t="shared" si="255"/>
        <v>194726.88278987812</v>
      </c>
      <c r="AX49" s="26">
        <f t="shared" si="255"/>
        <v>194601.25254291689</v>
      </c>
      <c r="AY49" s="26">
        <f t="shared" si="255"/>
        <v>194475.70334772792</v>
      </c>
      <c r="AZ49" s="26">
        <f t="shared" si="255"/>
        <v>194350.23515201968</v>
      </c>
      <c r="BA49" s="26">
        <f t="shared" si="255"/>
        <v>194224.84790353451</v>
      </c>
      <c r="BB49" s="26">
        <f t="shared" si="255"/>
        <v>194099.54155004837</v>
      </c>
      <c r="BC49" s="26">
        <f t="shared" si="255"/>
        <v>193974.31603937093</v>
      </c>
      <c r="BD49" s="26">
        <f t="shared" si="255"/>
        <v>193849.17131934551</v>
      </c>
      <c r="BE49" s="26">
        <f t="shared" si="255"/>
        <v>193724.10733784916</v>
      </c>
      <c r="BF49" s="26">
        <f t="shared" si="255"/>
        <v>193599.12404279248</v>
      </c>
      <c r="BG49" s="26">
        <f t="shared" si="255"/>
        <v>193474.22138211969</v>
      </c>
      <c r="BH49" s="26">
        <f t="shared" si="255"/>
        <v>193349.39930380869</v>
      </c>
      <c r="BI49" s="26">
        <f t="shared" si="255"/>
        <v>193224.65775587072</v>
      </c>
      <c r="BJ49" s="26">
        <f t="shared" si="255"/>
        <v>193099.99668635082</v>
      </c>
      <c r="BK49" s="26">
        <f t="shared" si="255"/>
        <v>192975.41604332739</v>
      </c>
      <c r="BL49" s="26">
        <f t="shared" si="255"/>
        <v>192850.91577491231</v>
      </c>
      <c r="BM49" s="26">
        <f t="shared" si="255"/>
        <v>192726.49582925107</v>
      </c>
      <c r="BN49" s="26">
        <f t="shared" si="255"/>
        <v>192602.1561545225</v>
      </c>
      <c r="BO49" s="26">
        <f t="shared" si="255"/>
        <v>192477.89669893894</v>
      </c>
      <c r="BP49" s="26">
        <f>+SUM(E49:BO49)</f>
        <v>12372002.875843441</v>
      </c>
      <c r="BQ49" s="21">
        <f>+AVERAGE(E49:BO49)</f>
        <v>196380.99802926098</v>
      </c>
    </row>
    <row r="50" spans="3:69">
      <c r="D50" s="18" t="s">
        <v>98</v>
      </c>
      <c r="E50" s="26">
        <f t="shared" ref="E50:AJ50" si="256">+(E49*$B$45)/1000</f>
        <v>12424.817307595</v>
      </c>
      <c r="F50" s="26">
        <f t="shared" si="256"/>
        <v>12416.80129642881</v>
      </c>
      <c r="G50" s="26">
        <f t="shared" si="256"/>
        <v>12408.790456882729</v>
      </c>
      <c r="H50" s="26">
        <f t="shared" si="256"/>
        <v>12400.784785620222</v>
      </c>
      <c r="I50" s="26">
        <f t="shared" si="256"/>
        <v>12392.784279306916</v>
      </c>
      <c r="J50" s="26">
        <f t="shared" si="256"/>
        <v>12384.788934610591</v>
      </c>
      <c r="K50" s="26">
        <f t="shared" si="256"/>
        <v>12376.798748201161</v>
      </c>
      <c r="L50" s="26">
        <f t="shared" si="256"/>
        <v>12368.813716750712</v>
      </c>
      <c r="M50" s="26">
        <f t="shared" si="256"/>
        <v>12360.833836933452</v>
      </c>
      <c r="N50" s="26">
        <f t="shared" si="256"/>
        <v>12352.859105425752</v>
      </c>
      <c r="O50" s="26">
        <f t="shared" si="256"/>
        <v>12344.889518906126</v>
      </c>
      <c r="P50" s="26">
        <f t="shared" si="256"/>
        <v>12336.925074055218</v>
      </c>
      <c r="Q50" s="26">
        <f t="shared" si="256"/>
        <v>12328.965767555825</v>
      </c>
      <c r="R50" s="26">
        <f t="shared" si="256"/>
        <v>12321.011596092885</v>
      </c>
      <c r="S50" s="26">
        <f t="shared" si="256"/>
        <v>12313.062556353472</v>
      </c>
      <c r="T50" s="26">
        <f t="shared" si="256"/>
        <v>12305.118645026792</v>
      </c>
      <c r="U50" s="26">
        <f t="shared" si="256"/>
        <v>12297.179858804197</v>
      </c>
      <c r="V50" s="26">
        <f t="shared" si="256"/>
        <v>12289.246194379159</v>
      </c>
      <c r="W50" s="26">
        <f t="shared" si="256"/>
        <v>12281.317648447302</v>
      </c>
      <c r="X50" s="26">
        <f t="shared" si="256"/>
        <v>12273.394217706369</v>
      </c>
      <c r="Y50" s="26">
        <f t="shared" si="256"/>
        <v>12265.475898856233</v>
      </c>
      <c r="Z50" s="26">
        <f t="shared" si="256"/>
        <v>12257.56268859891</v>
      </c>
      <c r="AA50" s="26">
        <f t="shared" si="256"/>
        <v>12249.654583638523</v>
      </c>
      <c r="AB50" s="26">
        <f t="shared" si="256"/>
        <v>12241.751580681335</v>
      </c>
      <c r="AC50" s="26">
        <f t="shared" si="256"/>
        <v>12233.853676435734</v>
      </c>
      <c r="AD50" s="26">
        <f t="shared" si="256"/>
        <v>12225.960867612228</v>
      </c>
      <c r="AE50" s="26">
        <f t="shared" si="256"/>
        <v>12218.073150923447</v>
      </c>
      <c r="AF50" s="26">
        <f t="shared" si="256"/>
        <v>12210.190523084142</v>
      </c>
      <c r="AG50" s="26">
        <f t="shared" si="256"/>
        <v>12202.312980811184</v>
      </c>
      <c r="AH50" s="26">
        <f t="shared" si="256"/>
        <v>12194.440520823564</v>
      </c>
      <c r="AI50" s="26">
        <f t="shared" si="256"/>
        <v>12186.573139842387</v>
      </c>
      <c r="AJ50" s="26">
        <f t="shared" si="256"/>
        <v>12178.710834590875</v>
      </c>
      <c r="AK50" s="26">
        <f t="shared" ref="AK50:BO50" si="257">+(AK49*$B$45)/1000</f>
        <v>12170.853601794366</v>
      </c>
      <c r="AL50" s="26">
        <f t="shared" si="257"/>
        <v>12163.001438180307</v>
      </c>
      <c r="AM50" s="26">
        <f t="shared" si="257"/>
        <v>12155.154340478253</v>
      </c>
      <c r="AN50" s="26">
        <f t="shared" si="257"/>
        <v>12147.31230541988</v>
      </c>
      <c r="AO50" s="26">
        <f t="shared" si="257"/>
        <v>12139.475329738965</v>
      </c>
      <c r="AP50" s="26">
        <f t="shared" si="257"/>
        <v>12131.643410171391</v>
      </c>
      <c r="AQ50" s="26">
        <f t="shared" si="257"/>
        <v>12123.816543455152</v>
      </c>
      <c r="AR50" s="26">
        <f t="shared" si="257"/>
        <v>12115.99472633034</v>
      </c>
      <c r="AS50" s="26">
        <f t="shared" si="257"/>
        <v>12108.177955539159</v>
      </c>
      <c r="AT50" s="26">
        <f t="shared" si="257"/>
        <v>12100.366227825907</v>
      </c>
      <c r="AU50" s="26">
        <f t="shared" si="257"/>
        <v>12092.559539936989</v>
      </c>
      <c r="AV50" s="26">
        <f t="shared" si="257"/>
        <v>12084.757888620899</v>
      </c>
      <c r="AW50" s="26">
        <f t="shared" si="257"/>
        <v>12076.961270628242</v>
      </c>
      <c r="AX50" s="26">
        <f t="shared" si="257"/>
        <v>12069.169682711705</v>
      </c>
      <c r="AY50" s="26">
        <f t="shared" si="257"/>
        <v>12061.383121626086</v>
      </c>
      <c r="AZ50" s="26">
        <f t="shared" si="257"/>
        <v>12053.601584128261</v>
      </c>
      <c r="BA50" s="26">
        <f t="shared" si="257"/>
        <v>12045.82506697721</v>
      </c>
      <c r="BB50" s="26">
        <f t="shared" si="257"/>
        <v>12038.053566934001</v>
      </c>
      <c r="BC50" s="26">
        <f t="shared" si="257"/>
        <v>12030.287080761786</v>
      </c>
      <c r="BD50" s="26">
        <f t="shared" si="257"/>
        <v>12022.525605225808</v>
      </c>
      <c r="BE50" s="26">
        <f t="shared" si="257"/>
        <v>12014.769137093406</v>
      </c>
      <c r="BF50" s="26">
        <f t="shared" si="257"/>
        <v>12007.017673133991</v>
      </c>
      <c r="BG50" s="26">
        <f t="shared" si="257"/>
        <v>11999.271210119063</v>
      </c>
      <c r="BH50" s="26">
        <f t="shared" si="257"/>
        <v>11991.529744822215</v>
      </c>
      <c r="BI50" s="26">
        <f t="shared" si="257"/>
        <v>11983.793274019103</v>
      </c>
      <c r="BJ50" s="26">
        <f t="shared" si="257"/>
        <v>11976.061794487478</v>
      </c>
      <c r="BK50" s="26">
        <f t="shared" si="257"/>
        <v>11968.335303007165</v>
      </c>
      <c r="BL50" s="26">
        <f t="shared" si="257"/>
        <v>11960.613796360063</v>
      </c>
      <c r="BM50" s="26">
        <f t="shared" si="257"/>
        <v>11952.897271330152</v>
      </c>
      <c r="BN50" s="26">
        <f t="shared" si="257"/>
        <v>11945.185724703486</v>
      </c>
      <c r="BO50" s="26">
        <f t="shared" si="257"/>
        <v>11937.479153268194</v>
      </c>
      <c r="BP50" s="26">
        <f>+SUM(E50:BO50)</f>
        <v>767311.61835981021</v>
      </c>
    </row>
    <row r="51" spans="3:69">
      <c r="C51">
        <v>1</v>
      </c>
      <c r="D51" s="18" t="s">
        <v>99</v>
      </c>
      <c r="E51" s="28">
        <f>+(E48*$B$48)*$C$51</f>
        <v>8134500.1673419364</v>
      </c>
      <c r="F51" s="28">
        <f t="shared" ref="F51:BO51" si="258">+(F48*$B$48)*$C$51</f>
        <v>8129252.1027178457</v>
      </c>
      <c r="G51" s="28">
        <f t="shared" si="258"/>
        <v>8124007.4239418972</v>
      </c>
      <c r="H51" s="28">
        <f t="shared" si="258"/>
        <v>8118766.1288296757</v>
      </c>
      <c r="I51" s="28">
        <f t="shared" si="258"/>
        <v>8113528.2151981732</v>
      </c>
      <c r="J51" s="28">
        <f t="shared" si="258"/>
        <v>8108293.680865786</v>
      </c>
      <c r="K51" s="28">
        <f t="shared" si="258"/>
        <v>8103062.5236523245</v>
      </c>
      <c r="L51" s="28">
        <f t="shared" si="258"/>
        <v>8097834.7413790002</v>
      </c>
      <c r="M51" s="28">
        <f t="shared" si="258"/>
        <v>8092610.3318684334</v>
      </c>
      <c r="N51" s="28">
        <f t="shared" si="258"/>
        <v>8087389.2929446474</v>
      </c>
      <c r="O51" s="28">
        <f t="shared" si="258"/>
        <v>8082171.6224330701</v>
      </c>
      <c r="P51" s="28">
        <f t="shared" si="258"/>
        <v>8076957.318160533</v>
      </c>
      <c r="Q51" s="28">
        <f t="shared" si="258"/>
        <v>8071746.3779552681</v>
      </c>
      <c r="R51" s="28">
        <f t="shared" si="258"/>
        <v>8066538.7996469103</v>
      </c>
      <c r="S51" s="28">
        <f t="shared" si="258"/>
        <v>8061334.5810664929</v>
      </c>
      <c r="T51" s="28">
        <f t="shared" si="258"/>
        <v>8056133.7200464504</v>
      </c>
      <c r="U51" s="28">
        <f t="shared" si="258"/>
        <v>8050936.2144206129</v>
      </c>
      <c r="V51" s="28">
        <f t="shared" si="258"/>
        <v>8045742.0620242124</v>
      </c>
      <c r="W51" s="28">
        <f t="shared" si="258"/>
        <v>8040551.2606938751</v>
      </c>
      <c r="X51" s="28">
        <f t="shared" si="258"/>
        <v>8035363.8082676195</v>
      </c>
      <c r="Y51" s="28">
        <f t="shared" si="258"/>
        <v>8030179.7025848664</v>
      </c>
      <c r="Z51" s="28">
        <f t="shared" si="258"/>
        <v>8024998.9414864248</v>
      </c>
      <c r="AA51" s="28">
        <f t="shared" si="258"/>
        <v>8019821.5228144983</v>
      </c>
      <c r="AB51" s="28">
        <f t="shared" si="258"/>
        <v>8014647.4444126813</v>
      </c>
      <c r="AC51" s="28">
        <f t="shared" si="258"/>
        <v>8009476.7041259632</v>
      </c>
      <c r="AD51" s="28">
        <f t="shared" si="258"/>
        <v>8004309.2998007219</v>
      </c>
      <c r="AE51" s="28">
        <f t="shared" si="258"/>
        <v>7999145.2292847224</v>
      </c>
      <c r="AF51" s="28">
        <f t="shared" si="258"/>
        <v>7993984.4904271169</v>
      </c>
      <c r="AG51" s="28">
        <f t="shared" si="258"/>
        <v>7988827.0810784567</v>
      </c>
      <c r="AH51" s="28">
        <f t="shared" si="258"/>
        <v>7983672.9990906632</v>
      </c>
      <c r="AI51" s="28">
        <f t="shared" si="258"/>
        <v>7978522.2423170563</v>
      </c>
      <c r="AJ51" s="28">
        <f t="shared" si="258"/>
        <v>7973374.8086123364</v>
      </c>
      <c r="AK51" s="28">
        <f t="shared" si="258"/>
        <v>7968230.6958325859</v>
      </c>
      <c r="AL51" s="28">
        <f t="shared" si="258"/>
        <v>7963089.9018352758</v>
      </c>
      <c r="AM51" s="28">
        <f t="shared" si="258"/>
        <v>7957952.4244792545</v>
      </c>
      <c r="AN51" s="28">
        <f t="shared" si="258"/>
        <v>7952818.2616247497</v>
      </c>
      <c r="AO51" s="28">
        <f t="shared" si="258"/>
        <v>7947687.4111333787</v>
      </c>
      <c r="AP51" s="28">
        <f t="shared" si="258"/>
        <v>7942559.8708681315</v>
      </c>
      <c r="AQ51" s="28">
        <f t="shared" si="258"/>
        <v>7937435.6386933783</v>
      </c>
      <c r="AR51" s="28">
        <f t="shared" si="258"/>
        <v>7932314.7124748649</v>
      </c>
      <c r="AS51" s="28">
        <f t="shared" si="258"/>
        <v>7927197.0900797211</v>
      </c>
      <c r="AT51" s="28">
        <f t="shared" si="258"/>
        <v>7922082.7693764437</v>
      </c>
      <c r="AU51" s="28">
        <f t="shared" si="258"/>
        <v>7916971.748234909</v>
      </c>
      <c r="AV51" s="28">
        <f t="shared" si="258"/>
        <v>7911864.0245263726</v>
      </c>
      <c r="AW51" s="28">
        <f t="shared" si="258"/>
        <v>7906759.5961234514</v>
      </c>
      <c r="AX51" s="28">
        <f t="shared" si="258"/>
        <v>7901658.4609001456</v>
      </c>
      <c r="AY51" s="28">
        <f t="shared" si="258"/>
        <v>7896560.6167318216</v>
      </c>
      <c r="AZ51" s="28">
        <f t="shared" si="258"/>
        <v>7891466.0614952203</v>
      </c>
      <c r="BA51" s="28">
        <f t="shared" si="258"/>
        <v>7886374.793068449</v>
      </c>
      <c r="BB51" s="28">
        <f t="shared" si="258"/>
        <v>7881286.8093309859</v>
      </c>
      <c r="BC51" s="28">
        <f t="shared" si="258"/>
        <v>7876202.1081636753</v>
      </c>
      <c r="BD51" s="28">
        <f t="shared" si="258"/>
        <v>7871120.6874487316</v>
      </c>
      <c r="BE51" s="28">
        <f t="shared" si="258"/>
        <v>7866042.5450697336</v>
      </c>
      <c r="BF51" s="28">
        <f t="shared" si="258"/>
        <v>7860967.6789116217</v>
      </c>
      <c r="BG51" s="28">
        <f t="shared" si="258"/>
        <v>7855896.0868607126</v>
      </c>
      <c r="BH51" s="28">
        <f t="shared" si="258"/>
        <v>7850827.7668046728</v>
      </c>
      <c r="BI51" s="28">
        <f t="shared" si="258"/>
        <v>7845762.7166325403</v>
      </c>
      <c r="BJ51" s="28">
        <f t="shared" si="258"/>
        <v>7840700.9342347141</v>
      </c>
      <c r="BK51" s="28">
        <f t="shared" si="258"/>
        <v>7835642.4175029499</v>
      </c>
      <c r="BL51" s="28">
        <f t="shared" si="258"/>
        <v>7830587.1643303651</v>
      </c>
      <c r="BM51" s="28">
        <f t="shared" si="258"/>
        <v>7825535.1726114433</v>
      </c>
      <c r="BN51" s="28">
        <f t="shared" si="258"/>
        <v>7820486.4402420158</v>
      </c>
      <c r="BO51" s="28">
        <f t="shared" si="258"/>
        <v>7815440.9651192799</v>
      </c>
      <c r="BP51" s="28">
        <f>+SUM(E51:BO51)</f>
        <v>502357204.41023207</v>
      </c>
    </row>
    <row r="54" spans="3:69">
      <c r="D54" s="21" t="s">
        <v>104</v>
      </c>
      <c r="E54" s="21">
        <f>(E40+F40)/12</f>
        <v>130981.42098765475</v>
      </c>
    </row>
    <row r="57" spans="3:69">
      <c r="D57" t="s">
        <v>105</v>
      </c>
      <c r="E57" s="21">
        <f>SUM(E36:AZ36)</f>
        <v>1281804.8845945059</v>
      </c>
      <c r="G57">
        <v>3</v>
      </c>
    </row>
    <row r="58" spans="3:69">
      <c r="D58" t="s">
        <v>106</v>
      </c>
      <c r="E58" s="21">
        <f>SUM(E48:AZ48)</f>
        <v>1281981.1004130002</v>
      </c>
      <c r="G58">
        <v>4</v>
      </c>
    </row>
    <row r="59" spans="3:69">
      <c r="D59" t="s">
        <v>107</v>
      </c>
      <c r="E59" s="21">
        <f>SUM(E57:E58)</f>
        <v>2563785.9850075059</v>
      </c>
      <c r="G59">
        <v>5</v>
      </c>
    </row>
    <row r="60" spans="3:69">
      <c r="E60" s="99">
        <f>E59/46</f>
        <v>55734.477934945782</v>
      </c>
      <c r="G60">
        <v>6</v>
      </c>
    </row>
  </sheetData>
  <mergeCells count="4">
    <mergeCell ref="E1:H1"/>
    <mergeCell ref="I1:L1"/>
    <mergeCell ref="M1:P1"/>
    <mergeCell ref="Q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1056-B640-694A-82BE-7593DCE6C90B}">
  <dimension ref="A1:N14"/>
  <sheetViews>
    <sheetView showGridLines="0" zoomScaleNormal="80" zoomScaleSheetLayoutView="100" workbookViewId="0">
      <selection activeCell="B15" sqref="B15"/>
    </sheetView>
  </sheetViews>
  <sheetFormatPr baseColWidth="10" defaultColWidth="9.125" defaultRowHeight="14.25"/>
  <cols>
    <col min="1" max="1" width="19.875" customWidth="1"/>
    <col min="2" max="2" width="16.125" customWidth="1"/>
    <col min="5" max="5" width="20.125" customWidth="1"/>
    <col min="6" max="6" width="17.75" customWidth="1"/>
  </cols>
  <sheetData>
    <row r="1" spans="1:14" ht="21">
      <c r="A1" s="69" t="s">
        <v>108</v>
      </c>
      <c r="B1" s="69"/>
      <c r="C1" s="45"/>
      <c r="D1" s="45"/>
      <c r="E1" s="69" t="s">
        <v>109</v>
      </c>
      <c r="F1" s="69"/>
      <c r="G1" s="45"/>
      <c r="H1" s="45"/>
      <c r="I1" s="45"/>
      <c r="J1" s="45"/>
      <c r="K1" s="45"/>
      <c r="L1" s="45"/>
      <c r="M1" s="45"/>
      <c r="N1" s="45"/>
    </row>
    <row r="2" spans="1:14" ht="15">
      <c r="A2" s="46" t="s">
        <v>110</v>
      </c>
      <c r="B2" s="47" t="s">
        <v>111</v>
      </c>
      <c r="E2" s="46" t="s">
        <v>110</v>
      </c>
      <c r="F2" s="47" t="s">
        <v>111</v>
      </c>
    </row>
    <row r="3" spans="1:14" ht="15">
      <c r="A3" s="1"/>
      <c r="E3" s="1"/>
    </row>
    <row r="4" spans="1:14" ht="15">
      <c r="A4" t="s">
        <v>112</v>
      </c>
      <c r="B4" s="21">
        <f>('Estado de Resultados'!B26+'Estado de Resultados'!B27)</f>
        <v>100218.15668022072</v>
      </c>
      <c r="E4" t="s">
        <v>112</v>
      </c>
      <c r="F4" s="21">
        <f>Flujograma!E54</f>
        <v>130981.42098765475</v>
      </c>
    </row>
    <row r="5" spans="1:14" ht="15">
      <c r="A5" t="s">
        <v>25</v>
      </c>
      <c r="B5" s="44">
        <f>('Estado de Resultados'!C26)</f>
        <v>850</v>
      </c>
      <c r="E5" t="s">
        <v>25</v>
      </c>
      <c r="F5" s="44">
        <f>+'Estado de Resultados'!H26</f>
        <v>850</v>
      </c>
    </row>
    <row r="7" spans="1:14" ht="15">
      <c r="A7" t="s">
        <v>113</v>
      </c>
      <c r="B7" s="44">
        <f>(B4*B5)</f>
        <v>85185433.178187609</v>
      </c>
      <c r="E7" t="s">
        <v>113</v>
      </c>
      <c r="F7" s="44">
        <f>F4*F5</f>
        <v>111334207.83950654</v>
      </c>
    </row>
    <row r="9" spans="1:14" ht="15">
      <c r="A9" t="s">
        <v>114</v>
      </c>
      <c r="B9" s="44">
        <f>('Estado de Resultados'!B11)</f>
        <v>15702409</v>
      </c>
      <c r="E9" t="s">
        <v>114</v>
      </c>
      <c r="F9" s="44">
        <f>'Estado de Resultados'!G11</f>
        <v>14757600</v>
      </c>
    </row>
    <row r="10" spans="1:14" ht="15">
      <c r="A10" t="s">
        <v>15</v>
      </c>
      <c r="B10" s="44">
        <f>(B11/B4)</f>
        <v>657.82912912264419</v>
      </c>
      <c r="E10" t="s">
        <v>15</v>
      </c>
      <c r="F10" s="44">
        <f>'Estado de Resultados'!G13</f>
        <v>615.21586835080018</v>
      </c>
    </row>
    <row r="11" spans="1:14" ht="15">
      <c r="A11" t="s">
        <v>115</v>
      </c>
      <c r="B11" s="44">
        <f>('Estado de Resultados'!B19)</f>
        <v>65926422.731226303</v>
      </c>
      <c r="E11" t="s">
        <v>115</v>
      </c>
      <c r="F11" s="44">
        <f>'Estado de Resultados'!G19</f>
        <v>66688426.469579369</v>
      </c>
    </row>
    <row r="12" spans="1:14" ht="15">
      <c r="A12" s="56" t="s">
        <v>116</v>
      </c>
      <c r="B12" s="57">
        <f>(B9/(B5-B10))</f>
        <v>81710.661601889384</v>
      </c>
      <c r="E12" s="58" t="s">
        <v>116</v>
      </c>
      <c r="F12" s="95">
        <f>(F9/(F5-F10))</f>
        <v>62856.036719082484</v>
      </c>
    </row>
    <row r="13" spans="1:14" ht="15">
      <c r="A13" s="47" t="s">
        <v>117</v>
      </c>
      <c r="B13" s="48">
        <f>(B9/1-(B10/B5))</f>
        <v>15702408.226083377</v>
      </c>
      <c r="E13" s="47" t="s">
        <v>117</v>
      </c>
      <c r="F13" s="96">
        <f>(F9/1-(F10/F5))</f>
        <v>14757599.276216626</v>
      </c>
    </row>
    <row r="14" spans="1:14" ht="15">
      <c r="B14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A44C-A4CC-1D4D-847C-89F32DB3145C}">
  <dimension ref="A1:R70"/>
  <sheetViews>
    <sheetView showGridLines="0" topLeftCell="B1" zoomScaleNormal="80" zoomScaleSheetLayoutView="100" workbookViewId="0">
      <selection activeCell="G71" sqref="G71"/>
    </sheetView>
  </sheetViews>
  <sheetFormatPr baseColWidth="10" defaultColWidth="9.125" defaultRowHeight="14.25"/>
  <cols>
    <col min="1" max="1" width="26.125" customWidth="1"/>
    <col min="2" max="2" width="15.625" bestFit="1" customWidth="1"/>
    <col min="4" max="4" width="32.125" customWidth="1"/>
    <col min="5" max="5" width="9.25" customWidth="1"/>
    <col min="6" max="6" width="21.5" customWidth="1"/>
    <col min="7" max="7" width="22.375" customWidth="1"/>
    <col min="8" max="8" width="19" customWidth="1"/>
    <col min="9" max="9" width="23.25" customWidth="1"/>
    <col min="10" max="10" width="22.75" customWidth="1"/>
    <col min="11" max="11" width="25.875" customWidth="1"/>
    <col min="12" max="12" width="18.625" customWidth="1"/>
    <col min="13" max="13" width="18.75" customWidth="1"/>
    <col min="14" max="14" width="17.75" customWidth="1"/>
    <col min="15" max="16" width="18.625" customWidth="1"/>
  </cols>
  <sheetData>
    <row r="1" spans="1:16" ht="15">
      <c r="A1" s="1" t="s">
        <v>118</v>
      </c>
      <c r="D1" s="3" t="s">
        <v>119</v>
      </c>
      <c r="E1" s="4"/>
      <c r="F1" s="222" t="s">
        <v>120</v>
      </c>
      <c r="G1" s="222"/>
      <c r="H1" s="222"/>
      <c r="I1" s="222"/>
      <c r="J1" s="222"/>
      <c r="K1" s="222"/>
      <c r="L1" s="222"/>
      <c r="M1" s="222"/>
      <c r="N1" s="222"/>
      <c r="O1" s="222"/>
      <c r="P1" s="223"/>
    </row>
    <row r="2" spans="1:16" ht="15">
      <c r="D2" s="4"/>
      <c r="E2" s="90" t="s">
        <v>121</v>
      </c>
      <c r="F2" s="42">
        <v>0</v>
      </c>
      <c r="G2" s="42">
        <v>1</v>
      </c>
      <c r="H2" s="42">
        <v>2</v>
      </c>
      <c r="I2" s="42">
        <v>3</v>
      </c>
      <c r="J2" s="42">
        <v>4</v>
      </c>
      <c r="K2" s="42">
        <v>5</v>
      </c>
      <c r="L2" s="42">
        <v>6</v>
      </c>
      <c r="M2" s="42">
        <v>7</v>
      </c>
      <c r="N2" s="42">
        <v>8</v>
      </c>
      <c r="O2" s="66">
        <v>9</v>
      </c>
      <c r="P2" s="42">
        <v>10</v>
      </c>
    </row>
    <row r="3" spans="1:16" ht="15">
      <c r="A3" s="4" t="s">
        <v>122</v>
      </c>
      <c r="B3" s="29">
        <f>(Flujograma!B2+Flujograma!B16)*'Estado de Resultados'!D4</f>
        <v>286764000</v>
      </c>
      <c r="D3" s="31" t="s">
        <v>123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15">
      <c r="B4" s="29"/>
      <c r="D4" s="4" t="s">
        <v>124</v>
      </c>
      <c r="E4" s="130">
        <v>0</v>
      </c>
      <c r="F4" s="15"/>
      <c r="G4" s="91">
        <f>(+'Estado de Resultados'!B26+'Estado de Resultados'!B27)*12</f>
        <v>1202617.8801626486</v>
      </c>
      <c r="H4" s="91">
        <f>+(G4*$E$4)+G4</f>
        <v>1202617.8801626486</v>
      </c>
      <c r="I4" s="91">
        <f t="shared" ref="I4:P4" si="0">+(H4*$E$4)+H4</f>
        <v>1202617.8801626486</v>
      </c>
      <c r="J4" s="91">
        <f t="shared" si="0"/>
        <v>1202617.8801626486</v>
      </c>
      <c r="K4" s="91">
        <f t="shared" si="0"/>
        <v>1202617.8801626486</v>
      </c>
      <c r="L4" s="91">
        <f t="shared" si="0"/>
        <v>1202617.8801626486</v>
      </c>
      <c r="M4" s="91">
        <f t="shared" si="0"/>
        <v>1202617.8801626486</v>
      </c>
      <c r="N4" s="91">
        <f t="shared" si="0"/>
        <v>1202617.8801626486</v>
      </c>
      <c r="O4" s="91">
        <f t="shared" si="0"/>
        <v>1202617.8801626486</v>
      </c>
      <c r="P4" s="91">
        <f t="shared" si="0"/>
        <v>1202617.8801626486</v>
      </c>
    </row>
    <row r="5" spans="1:16" ht="15">
      <c r="A5" s="4" t="s">
        <v>125</v>
      </c>
      <c r="B5" s="29">
        <f>+B3</f>
        <v>286764000</v>
      </c>
      <c r="D5" s="4" t="s">
        <v>126</v>
      </c>
      <c r="E5" s="103">
        <v>0</v>
      </c>
      <c r="F5" s="4"/>
      <c r="G5" s="13">
        <f>+'Estado de Resultados'!C26</f>
        <v>850</v>
      </c>
      <c r="H5" s="29">
        <f>+(G5*$E$5)+G5</f>
        <v>850</v>
      </c>
      <c r="I5" s="29">
        <f t="shared" ref="I5:P5" si="1">+(H5*$E$5)+H5</f>
        <v>850</v>
      </c>
      <c r="J5" s="29">
        <f t="shared" si="1"/>
        <v>850</v>
      </c>
      <c r="K5" s="29">
        <f t="shared" si="1"/>
        <v>850</v>
      </c>
      <c r="L5" s="29">
        <f t="shared" si="1"/>
        <v>850</v>
      </c>
      <c r="M5" s="29">
        <f t="shared" si="1"/>
        <v>850</v>
      </c>
      <c r="N5" s="29">
        <f t="shared" si="1"/>
        <v>850</v>
      </c>
      <c r="O5" s="29">
        <f t="shared" si="1"/>
        <v>850</v>
      </c>
      <c r="P5" s="29">
        <f t="shared" si="1"/>
        <v>850</v>
      </c>
    </row>
    <row r="6" spans="1:16" ht="15">
      <c r="B6" s="44"/>
      <c r="D6" s="4"/>
      <c r="E6" s="103"/>
      <c r="F6" s="4"/>
      <c r="G6" s="13"/>
      <c r="H6" s="29"/>
      <c r="I6" s="29"/>
      <c r="J6" s="29"/>
      <c r="K6" s="29"/>
      <c r="L6" s="29"/>
      <c r="M6" s="29"/>
      <c r="N6" s="29"/>
      <c r="O6" s="29"/>
      <c r="P6" s="29"/>
    </row>
    <row r="7" spans="1:16" ht="15">
      <c r="D7" s="3" t="s">
        <v>127</v>
      </c>
      <c r="E7" s="4"/>
      <c r="F7" s="4"/>
      <c r="G7" s="12">
        <f t="shared" ref="G7:P7" si="2">+(G4*G5)</f>
        <v>1022225198.1382513</v>
      </c>
      <c r="H7" s="12">
        <f t="shared" si="2"/>
        <v>1022225198.1382513</v>
      </c>
      <c r="I7" s="12">
        <f t="shared" si="2"/>
        <v>1022225198.1382513</v>
      </c>
      <c r="J7" s="12">
        <f t="shared" si="2"/>
        <v>1022225198.1382513</v>
      </c>
      <c r="K7" s="12">
        <f t="shared" si="2"/>
        <v>1022225198.1382513</v>
      </c>
      <c r="L7" s="12">
        <f t="shared" si="2"/>
        <v>1022225198.1382513</v>
      </c>
      <c r="M7" s="12">
        <f t="shared" si="2"/>
        <v>1022225198.1382513</v>
      </c>
      <c r="N7" s="12">
        <f t="shared" si="2"/>
        <v>1022225198.1382513</v>
      </c>
      <c r="O7" s="12">
        <f t="shared" si="2"/>
        <v>1022225198.1382513</v>
      </c>
      <c r="P7" s="12">
        <f t="shared" si="2"/>
        <v>1022225198.1382513</v>
      </c>
    </row>
    <row r="8" spans="1:16" ht="15">
      <c r="A8" s="224" t="s">
        <v>128</v>
      </c>
      <c r="B8" s="225"/>
    </row>
    <row r="9" spans="1:16" ht="15">
      <c r="A9" s="4" t="s">
        <v>129</v>
      </c>
      <c r="B9" s="29">
        <f>(B5/10)</f>
        <v>28676400</v>
      </c>
      <c r="D9" s="3" t="s">
        <v>130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5">
      <c r="A10" s="4" t="s">
        <v>131</v>
      </c>
      <c r="B10" s="29">
        <f>+G21</f>
        <v>24910528.802333247</v>
      </c>
      <c r="D10" s="4" t="s">
        <v>132</v>
      </c>
      <c r="E10" s="89">
        <v>0</v>
      </c>
      <c r="F10" s="4"/>
      <c r="G10" s="13">
        <f>+'Estado de Resultados'!B13</f>
        <v>657.82912912264419</v>
      </c>
      <c r="H10" s="13">
        <f>+(G10*$E$10)+G10</f>
        <v>657.82912912264419</v>
      </c>
      <c r="I10" s="13">
        <f t="shared" ref="I10:P10" si="3">+(H10*$E$10)+H10</f>
        <v>657.82912912264419</v>
      </c>
      <c r="J10" s="13">
        <f t="shared" si="3"/>
        <v>657.82912912264419</v>
      </c>
      <c r="K10" s="13">
        <f t="shared" si="3"/>
        <v>657.82912912264419</v>
      </c>
      <c r="L10" s="13">
        <f t="shared" si="3"/>
        <v>657.82912912264419</v>
      </c>
      <c r="M10" s="13">
        <f t="shared" si="3"/>
        <v>657.82912912264419</v>
      </c>
      <c r="N10" s="13">
        <f t="shared" si="3"/>
        <v>657.82912912264419</v>
      </c>
      <c r="O10" s="13">
        <f t="shared" si="3"/>
        <v>657.82912912264419</v>
      </c>
      <c r="P10" s="93">
        <f t="shared" si="3"/>
        <v>657.82912912264419</v>
      </c>
    </row>
    <row r="11" spans="1:16" ht="15">
      <c r="D11" s="4" t="s">
        <v>133</v>
      </c>
      <c r="E11" s="74">
        <v>0</v>
      </c>
      <c r="F11" s="4"/>
      <c r="G11" s="13">
        <f>+'Estado de Resultados'!B19*12</f>
        <v>791117072.77471566</v>
      </c>
      <c r="H11" s="13">
        <f>+(G11*$E$11)+G11</f>
        <v>791117072.77471566</v>
      </c>
      <c r="I11" s="13">
        <f t="shared" ref="I11:P11" si="4">+(H11*$E$11)+H11</f>
        <v>791117072.77471566</v>
      </c>
      <c r="J11" s="13">
        <f t="shared" si="4"/>
        <v>791117072.77471566</v>
      </c>
      <c r="K11" s="13">
        <f t="shared" si="4"/>
        <v>791117072.77471566</v>
      </c>
      <c r="L11" s="13">
        <f t="shared" si="4"/>
        <v>791117072.77471566</v>
      </c>
      <c r="M11" s="13">
        <f t="shared" si="4"/>
        <v>791117072.77471566</v>
      </c>
      <c r="N11" s="13">
        <f t="shared" si="4"/>
        <v>791117072.77471566</v>
      </c>
      <c r="O11" s="13">
        <f t="shared" si="4"/>
        <v>791117072.77471566</v>
      </c>
      <c r="P11" s="93">
        <f t="shared" si="4"/>
        <v>791117072.77471566</v>
      </c>
    </row>
    <row r="12" spans="1:16" ht="15">
      <c r="D12" s="4" t="s">
        <v>0</v>
      </c>
      <c r="E12" s="89">
        <v>0</v>
      </c>
      <c r="F12" s="4"/>
      <c r="G12" s="13">
        <f>+'Estado de Resultados'!B11*12</f>
        <v>188428908</v>
      </c>
      <c r="H12" s="13">
        <f>+(G12*$E$12)+G12</f>
        <v>188428908</v>
      </c>
      <c r="I12" s="13">
        <f t="shared" ref="I12:P12" si="5">+(H12*$E$12)+H12</f>
        <v>188428908</v>
      </c>
      <c r="J12" s="13">
        <f t="shared" si="5"/>
        <v>188428908</v>
      </c>
      <c r="K12" s="13">
        <f t="shared" si="5"/>
        <v>188428908</v>
      </c>
      <c r="L12" s="13">
        <f t="shared" si="5"/>
        <v>188428908</v>
      </c>
      <c r="M12" s="13">
        <f t="shared" si="5"/>
        <v>188428908</v>
      </c>
      <c r="N12" s="13">
        <f t="shared" si="5"/>
        <v>188428908</v>
      </c>
      <c r="O12" s="13">
        <f t="shared" si="5"/>
        <v>188428908</v>
      </c>
      <c r="P12" s="93">
        <f t="shared" si="5"/>
        <v>188428908</v>
      </c>
    </row>
    <row r="13" spans="1:16" ht="15">
      <c r="D13" s="4" t="s">
        <v>134</v>
      </c>
      <c r="E13" s="74"/>
      <c r="F13" s="4"/>
      <c r="G13" s="13">
        <f>+$B$9</f>
        <v>28676400</v>
      </c>
      <c r="H13" s="9">
        <f>+(G13*$E$13)+G13</f>
        <v>28676400</v>
      </c>
      <c r="I13" s="9">
        <f t="shared" ref="I13:P13" si="6">+(H13*$E$13)+H13</f>
        <v>28676400</v>
      </c>
      <c r="J13" s="9">
        <f t="shared" si="6"/>
        <v>28676400</v>
      </c>
      <c r="K13" s="9">
        <f t="shared" si="6"/>
        <v>28676400</v>
      </c>
      <c r="L13" s="9">
        <f t="shared" si="6"/>
        <v>28676400</v>
      </c>
      <c r="M13" s="9">
        <f t="shared" si="6"/>
        <v>28676400</v>
      </c>
      <c r="N13" s="9">
        <f t="shared" si="6"/>
        <v>28676400</v>
      </c>
      <c r="O13" s="9">
        <f t="shared" si="6"/>
        <v>28676400</v>
      </c>
      <c r="P13" s="9">
        <f t="shared" si="6"/>
        <v>28676400</v>
      </c>
    </row>
    <row r="14" spans="1:16" ht="15">
      <c r="G14" s="4"/>
    </row>
    <row r="15" spans="1:16" ht="15">
      <c r="D15" s="3" t="s">
        <v>135</v>
      </c>
      <c r="E15" s="4"/>
      <c r="F15" s="4"/>
      <c r="G15" s="14">
        <f t="shared" ref="G15:P15" si="7">G7-G11-G12-G13</f>
        <v>14002817.363535643</v>
      </c>
      <c r="H15" s="14">
        <f t="shared" si="7"/>
        <v>14002817.363535643</v>
      </c>
      <c r="I15" s="14">
        <f t="shared" si="7"/>
        <v>14002817.363535643</v>
      </c>
      <c r="J15" s="14">
        <f t="shared" si="7"/>
        <v>14002817.363535643</v>
      </c>
      <c r="K15" s="14">
        <f t="shared" si="7"/>
        <v>14002817.363535643</v>
      </c>
      <c r="L15" s="14">
        <f t="shared" si="7"/>
        <v>14002817.363535643</v>
      </c>
      <c r="M15" s="14">
        <f t="shared" si="7"/>
        <v>14002817.363535643</v>
      </c>
      <c r="N15" s="14">
        <f t="shared" si="7"/>
        <v>14002817.363535643</v>
      </c>
      <c r="O15" s="14">
        <f t="shared" si="7"/>
        <v>14002817.363535643</v>
      </c>
      <c r="P15" s="14">
        <f t="shared" si="7"/>
        <v>14002817.363535643</v>
      </c>
    </row>
    <row r="16" spans="1:16" ht="15">
      <c r="D16" s="4" t="s">
        <v>136</v>
      </c>
      <c r="E16" s="89">
        <v>0.25</v>
      </c>
      <c r="F16" s="73"/>
      <c r="G16" s="93">
        <f>+(G15*$E$16)</f>
        <v>3500704.3408839107</v>
      </c>
      <c r="H16" s="93">
        <f t="shared" ref="H16:P16" si="8">+(H15*$E$16)</f>
        <v>3500704.3408839107</v>
      </c>
      <c r="I16" s="93">
        <f t="shared" si="8"/>
        <v>3500704.3408839107</v>
      </c>
      <c r="J16" s="93">
        <f t="shared" si="8"/>
        <v>3500704.3408839107</v>
      </c>
      <c r="K16" s="93">
        <f t="shared" si="8"/>
        <v>3500704.3408839107</v>
      </c>
      <c r="L16" s="93">
        <f t="shared" si="8"/>
        <v>3500704.3408839107</v>
      </c>
      <c r="M16" s="93">
        <f t="shared" si="8"/>
        <v>3500704.3408839107</v>
      </c>
      <c r="N16" s="93">
        <f t="shared" si="8"/>
        <v>3500704.3408839107</v>
      </c>
      <c r="O16" s="93">
        <f t="shared" si="8"/>
        <v>3500704.3408839107</v>
      </c>
      <c r="P16" s="93">
        <f t="shared" si="8"/>
        <v>3500704.3408839107</v>
      </c>
    </row>
    <row r="18" spans="4:16" ht="15">
      <c r="D18" s="3" t="s">
        <v>137</v>
      </c>
      <c r="E18" s="4"/>
      <c r="F18" s="4"/>
      <c r="G18" s="9">
        <f>G15-G16</f>
        <v>10502113.022651732</v>
      </c>
      <c r="H18" s="9">
        <f>H15-H16</f>
        <v>10502113.022651732</v>
      </c>
      <c r="I18" s="9">
        <f t="shared" ref="I18:P18" si="9">I15-I16</f>
        <v>10502113.022651732</v>
      </c>
      <c r="J18" s="9">
        <f>J15-J16</f>
        <v>10502113.022651732</v>
      </c>
      <c r="K18" s="9">
        <f t="shared" si="9"/>
        <v>10502113.022651732</v>
      </c>
      <c r="L18" s="9">
        <f t="shared" si="9"/>
        <v>10502113.022651732</v>
      </c>
      <c r="M18" s="9">
        <f t="shared" si="9"/>
        <v>10502113.022651732</v>
      </c>
      <c r="N18" s="9">
        <f t="shared" si="9"/>
        <v>10502113.022651732</v>
      </c>
      <c r="O18" s="9">
        <f t="shared" si="9"/>
        <v>10502113.022651732</v>
      </c>
      <c r="P18" s="9">
        <f t="shared" si="9"/>
        <v>10502113.022651732</v>
      </c>
    </row>
    <row r="20" spans="4:16" ht="15">
      <c r="D20" s="4" t="s">
        <v>128</v>
      </c>
      <c r="E20" s="4"/>
      <c r="F20" s="4"/>
      <c r="G20" s="9">
        <f>+G13</f>
        <v>28676400</v>
      </c>
      <c r="H20" s="9">
        <f t="shared" ref="H20:P20" si="10">+H13</f>
        <v>28676400</v>
      </c>
      <c r="I20" s="9">
        <f t="shared" si="10"/>
        <v>28676400</v>
      </c>
      <c r="J20" s="9">
        <f t="shared" si="10"/>
        <v>28676400</v>
      </c>
      <c r="K20" s="9">
        <f t="shared" si="10"/>
        <v>28676400</v>
      </c>
      <c r="L20" s="9">
        <f t="shared" si="10"/>
        <v>28676400</v>
      </c>
      <c r="M20" s="9">
        <f t="shared" si="10"/>
        <v>28676400</v>
      </c>
      <c r="N20" s="9">
        <f t="shared" si="10"/>
        <v>28676400</v>
      </c>
      <c r="O20" s="9">
        <f t="shared" si="10"/>
        <v>28676400</v>
      </c>
      <c r="P20" s="9">
        <f t="shared" si="10"/>
        <v>28676400</v>
      </c>
    </row>
    <row r="21" spans="4:16" ht="15">
      <c r="D21" s="4" t="s">
        <v>138</v>
      </c>
      <c r="E21" s="4"/>
      <c r="G21" s="29">
        <f>+Flujograma!BO6+Flujograma!BO20*'Estado de Resultados'!D5</f>
        <v>24910528.802333247</v>
      </c>
      <c r="H21" s="29">
        <f>+G21</f>
        <v>24910528.802333247</v>
      </c>
      <c r="I21" s="29">
        <f t="shared" ref="I21:P21" si="11">+H21</f>
        <v>24910528.802333247</v>
      </c>
      <c r="J21" s="29">
        <f t="shared" si="11"/>
        <v>24910528.802333247</v>
      </c>
      <c r="K21" s="29">
        <f t="shared" si="11"/>
        <v>24910528.802333247</v>
      </c>
      <c r="L21" s="29">
        <f t="shared" si="11"/>
        <v>24910528.802333247</v>
      </c>
      <c r="M21" s="29">
        <f t="shared" si="11"/>
        <v>24910528.802333247</v>
      </c>
      <c r="N21" s="29">
        <f t="shared" si="11"/>
        <v>24910528.802333247</v>
      </c>
      <c r="O21" s="29">
        <f t="shared" si="11"/>
        <v>24910528.802333247</v>
      </c>
      <c r="P21" s="29">
        <f t="shared" si="11"/>
        <v>24910528.802333247</v>
      </c>
    </row>
    <row r="22" spans="4:16" ht="15">
      <c r="D22" s="4" t="s">
        <v>139</v>
      </c>
      <c r="E22" s="4"/>
      <c r="F22" s="100">
        <f>-B5</f>
        <v>-286764000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4" spans="4:16" ht="15">
      <c r="D24" s="3" t="s">
        <v>140</v>
      </c>
      <c r="E24" s="4"/>
      <c r="F24" s="100">
        <f>+F22</f>
        <v>-286764000</v>
      </c>
      <c r="G24" s="101">
        <f>+G21+G20+G18</f>
        <v>64089041.824984983</v>
      </c>
      <c r="H24" s="101">
        <f t="shared" ref="H24:P24" si="12">H21+H18+H20</f>
        <v>64089041.824984983</v>
      </c>
      <c r="I24" s="101">
        <f t="shared" si="12"/>
        <v>64089041.824984983</v>
      </c>
      <c r="J24" s="101">
        <f t="shared" si="12"/>
        <v>64089041.824984983</v>
      </c>
      <c r="K24" s="101">
        <f t="shared" si="12"/>
        <v>64089041.824984983</v>
      </c>
      <c r="L24" s="101">
        <f t="shared" si="12"/>
        <v>64089041.824984983</v>
      </c>
      <c r="M24" s="101">
        <f t="shared" si="12"/>
        <v>64089041.824984983</v>
      </c>
      <c r="N24" s="101">
        <f t="shared" si="12"/>
        <v>64089041.824984983</v>
      </c>
      <c r="O24" s="101">
        <f t="shared" si="12"/>
        <v>64089041.824984983</v>
      </c>
      <c r="P24" s="101">
        <f t="shared" si="12"/>
        <v>64089041.824984983</v>
      </c>
    </row>
    <row r="25" spans="4:16">
      <c r="O25" s="152"/>
      <c r="P25" s="152"/>
    </row>
    <row r="26" spans="4:16" ht="15">
      <c r="D26" t="s">
        <v>141</v>
      </c>
      <c r="E26" s="117"/>
      <c r="F26" s="168">
        <f>+F24</f>
        <v>-286764000</v>
      </c>
      <c r="G26" s="168">
        <f>+F26+G24</f>
        <v>-222674958.17501503</v>
      </c>
      <c r="H26" s="168">
        <f>+G26+H24</f>
        <v>-158585916.35003006</v>
      </c>
      <c r="I26" s="168">
        <f t="shared" ref="I26:P26" si="13">+H26+I24</f>
        <v>-94496874.525045082</v>
      </c>
      <c r="J26" s="168">
        <f t="shared" si="13"/>
        <v>-30407832.700060099</v>
      </c>
      <c r="K26" s="168">
        <f t="shared" si="13"/>
        <v>33681209.124924883</v>
      </c>
      <c r="L26" s="168">
        <f t="shared" si="13"/>
        <v>97770250.949909866</v>
      </c>
      <c r="M26" s="168">
        <f t="shared" si="13"/>
        <v>161859292.77489483</v>
      </c>
      <c r="N26" s="168">
        <f t="shared" si="13"/>
        <v>225948334.5998798</v>
      </c>
      <c r="O26" s="168">
        <f t="shared" si="13"/>
        <v>290037376.42486477</v>
      </c>
      <c r="P26" s="168">
        <f t="shared" si="13"/>
        <v>354126418.24984974</v>
      </c>
    </row>
    <row r="27" spans="4:16">
      <c r="D27" t="s">
        <v>142</v>
      </c>
      <c r="E27" s="117">
        <v>0.15</v>
      </c>
      <c r="F27" s="10">
        <f>+F22+NPV(E27,G24:P24)</f>
        <v>34884072.372294188</v>
      </c>
    </row>
    <row r="28" spans="4:16">
      <c r="D28" t="s">
        <v>143</v>
      </c>
      <c r="F28" s="201">
        <f>IRR(F24:P24)</f>
        <v>0.18123312078287124</v>
      </c>
    </row>
    <row r="29" spans="4:16" ht="15" hidden="1">
      <c r="D29" s="6" t="s">
        <v>144</v>
      </c>
      <c r="E29" s="85" t="s">
        <v>145</v>
      </c>
      <c r="F29" s="6" t="s">
        <v>146</v>
      </c>
    </row>
    <row r="30" spans="4:16" ht="15" hidden="1">
      <c r="D30" s="4" t="s">
        <v>147</v>
      </c>
      <c r="E30" s="73"/>
      <c r="F30" s="4"/>
    </row>
    <row r="31" spans="4:16" ht="15" hidden="1">
      <c r="D31" s="4" t="s">
        <v>148</v>
      </c>
      <c r="E31" s="73"/>
      <c r="F31" s="4"/>
    </row>
    <row r="32" spans="4:16" ht="15" hidden="1">
      <c r="D32" s="4" t="s">
        <v>149</v>
      </c>
      <c r="E32" s="73"/>
      <c r="F32" s="4"/>
    </row>
    <row r="33" spans="4:18" ht="15" hidden="1"/>
    <row r="34" spans="4:18" ht="15" hidden="1">
      <c r="D34" s="3" t="s">
        <v>150</v>
      </c>
      <c r="E34" s="4"/>
    </row>
    <row r="35" spans="4:18" ht="15" hidden="1">
      <c r="D35" s="4" t="s">
        <v>151</v>
      </c>
      <c r="E35" s="4"/>
    </row>
    <row r="36" spans="4:18" ht="15" hidden="1">
      <c r="D36" s="4" t="s">
        <v>152</v>
      </c>
      <c r="E36" s="94">
        <v>0.08</v>
      </c>
    </row>
    <row r="37" spans="4:18" ht="15" hidden="1">
      <c r="D37" s="4" t="s">
        <v>153</v>
      </c>
      <c r="E37" s="4"/>
    </row>
    <row r="38" spans="4:18" ht="15" hidden="1">
      <c r="D38" s="4" t="s">
        <v>154</v>
      </c>
      <c r="E38" s="4"/>
    </row>
    <row r="39" spans="4:18" ht="15" hidden="1"/>
    <row r="40" spans="4:18" ht="15" hidden="1">
      <c r="D40" s="31" t="s">
        <v>155</v>
      </c>
      <c r="E40" s="77"/>
      <c r="F40" s="77"/>
      <c r="G40" s="67">
        <v>1</v>
      </c>
      <c r="H40" s="67">
        <v>2</v>
      </c>
      <c r="I40" s="67">
        <v>3</v>
      </c>
      <c r="J40" s="67">
        <v>4</v>
      </c>
      <c r="K40" s="67">
        <v>5</v>
      </c>
      <c r="L40" s="67">
        <v>6</v>
      </c>
      <c r="M40" s="67">
        <v>7</v>
      </c>
      <c r="N40" s="67">
        <v>8</v>
      </c>
      <c r="O40" s="67">
        <v>9</v>
      </c>
      <c r="P40" s="68">
        <v>10</v>
      </c>
      <c r="Q40" s="32"/>
      <c r="R40" s="32"/>
    </row>
    <row r="41" spans="4:18" ht="15" hidden="1">
      <c r="D41" s="73" t="s">
        <v>156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80"/>
    </row>
    <row r="42" spans="4:18" ht="15" hidden="1">
      <c r="D42" s="73" t="s">
        <v>157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80"/>
    </row>
    <row r="43" spans="4:18" ht="15" hidden="1">
      <c r="D43" s="73" t="s">
        <v>158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80"/>
    </row>
    <row r="44" spans="4:18" ht="15" hidden="1">
      <c r="D44" s="73" t="s">
        <v>159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75"/>
    </row>
    <row r="45" spans="4:18" ht="15" hidden="1">
      <c r="D45" s="73" t="s">
        <v>160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6"/>
    </row>
    <row r="46" spans="4:18" ht="15" hidden="1"/>
    <row r="47" spans="4:18" ht="15" hidden="1"/>
    <row r="48" spans="4:18" ht="15" hidden="1">
      <c r="D48" s="31" t="s">
        <v>161</v>
      </c>
      <c r="E48" s="63"/>
      <c r="F48" s="63"/>
      <c r="G48" s="67">
        <v>1</v>
      </c>
      <c r="H48" s="67">
        <v>2</v>
      </c>
      <c r="I48" s="67">
        <v>3</v>
      </c>
      <c r="J48" s="67">
        <v>4</v>
      </c>
      <c r="K48" s="67">
        <v>5</v>
      </c>
      <c r="L48" s="67">
        <v>6</v>
      </c>
      <c r="M48" s="67">
        <v>7</v>
      </c>
      <c r="N48" s="67">
        <v>8</v>
      </c>
      <c r="O48" s="67">
        <v>9</v>
      </c>
      <c r="P48" s="68">
        <v>10</v>
      </c>
    </row>
    <row r="49" spans="4:16" ht="15" hidden="1">
      <c r="D49" s="84" t="s">
        <v>162</v>
      </c>
      <c r="E49" s="79"/>
      <c r="F49" s="79"/>
      <c r="G49" s="63"/>
      <c r="H49" s="63"/>
      <c r="I49" s="63"/>
      <c r="J49" s="63"/>
      <c r="K49" s="63"/>
      <c r="L49" s="63"/>
      <c r="M49" s="63"/>
      <c r="N49" s="63"/>
      <c r="O49" s="63"/>
      <c r="P49" s="75"/>
    </row>
    <row r="50" spans="4:16" ht="15" hidden="1">
      <c r="D50" s="84" t="s">
        <v>163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6"/>
    </row>
    <row r="51" spans="4:16" ht="15" hidden="1">
      <c r="D51" s="84" t="s">
        <v>114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6"/>
    </row>
    <row r="52" spans="4:16" ht="15" hidden="1">
      <c r="D52" s="84" t="s">
        <v>128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6"/>
    </row>
    <row r="53" spans="4:16" ht="15" hidden="1">
      <c r="D53" s="82"/>
      <c r="P53" s="83"/>
    </row>
    <row r="54" spans="4:16" ht="15" hidden="1">
      <c r="D54" s="31" t="s">
        <v>164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75"/>
    </row>
    <row r="55" spans="4:16" ht="15" hidden="1">
      <c r="D55" s="82"/>
      <c r="P55" s="83"/>
    </row>
    <row r="56" spans="4:16" ht="15" hidden="1">
      <c r="D56" s="31" t="s">
        <v>135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75"/>
    </row>
    <row r="57" spans="4:16" ht="15" hidden="1">
      <c r="D57" s="82"/>
      <c r="P57" s="83"/>
    </row>
    <row r="58" spans="4:16" ht="15" hidden="1">
      <c r="D58" s="31" t="s">
        <v>165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75"/>
    </row>
    <row r="59" spans="4:16" ht="15" hidden="1">
      <c r="D59" s="82"/>
      <c r="P59" s="83"/>
    </row>
    <row r="60" spans="4:16" ht="15" hidden="1">
      <c r="D60" s="73" t="s">
        <v>166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75"/>
    </row>
    <row r="61" spans="4:16" ht="15" hidden="1">
      <c r="D61" s="8"/>
      <c r="P61" s="83"/>
    </row>
    <row r="62" spans="4:16" ht="15" hidden="1">
      <c r="D62" s="73" t="s">
        <v>128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75"/>
    </row>
    <row r="63" spans="4:16" ht="15" hidden="1">
      <c r="D63" s="84" t="s">
        <v>159</v>
      </c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6"/>
    </row>
    <row r="64" spans="4:16" ht="15" hidden="1">
      <c r="D64" s="84" t="s">
        <v>167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6"/>
    </row>
    <row r="65" spans="4:16" ht="15" hidden="1">
      <c r="D65" s="85" t="s">
        <v>168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6"/>
    </row>
    <row r="66" spans="4:16" ht="15" hidden="1"/>
    <row r="67" spans="4:16" ht="15" hidden="1">
      <c r="D67" s="81" t="s">
        <v>169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80"/>
    </row>
    <row r="68" spans="4:16" ht="15" hidden="1">
      <c r="D68" s="82" t="s">
        <v>170</v>
      </c>
      <c r="P68" s="83"/>
    </row>
    <row r="69" spans="4:16" ht="15" hidden="1">
      <c r="D69" s="84" t="s">
        <v>143</v>
      </c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6"/>
    </row>
    <row r="70" spans="4:16" ht="15" hidden="1"/>
  </sheetData>
  <mergeCells count="2">
    <mergeCell ref="F1:P1"/>
    <mergeCell ref="A8:B8"/>
  </mergeCells>
  <conditionalFormatting sqref="F26:P26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BF95-7C09-FB46-AB15-D1CFD73CA4C5}">
  <dimension ref="A1:C5"/>
  <sheetViews>
    <sheetView showGridLines="0" zoomScaleNormal="80" zoomScaleSheetLayoutView="100" workbookViewId="0">
      <selection activeCell="C4" sqref="C4"/>
    </sheetView>
  </sheetViews>
  <sheetFormatPr baseColWidth="10" defaultColWidth="9.125" defaultRowHeight="14.25"/>
  <cols>
    <col min="1" max="1" width="19.875" bestFit="1" customWidth="1"/>
    <col min="3" max="3" width="17.75" customWidth="1"/>
  </cols>
  <sheetData>
    <row r="1" spans="1:3">
      <c r="A1" s="71" t="s">
        <v>171</v>
      </c>
    </row>
    <row r="2" spans="1:3">
      <c r="A2" s="4" t="s">
        <v>172</v>
      </c>
      <c r="B2" s="4" t="s">
        <v>83</v>
      </c>
      <c r="C2" s="4" t="s">
        <v>26</v>
      </c>
    </row>
    <row r="3" spans="1:3">
      <c r="A3" s="5" t="s">
        <v>173</v>
      </c>
      <c r="B3" s="5">
        <v>16</v>
      </c>
      <c r="C3" s="51">
        <f>(300000*B3)</f>
        <v>4800000</v>
      </c>
    </row>
    <row r="4" spans="1:3">
      <c r="A4" s="108" t="s">
        <v>122</v>
      </c>
      <c r="B4" s="121">
        <f>+Flujograma!B43+Flujograma!B31</f>
        <v>71691</v>
      </c>
      <c r="C4" s="122">
        <f>+B4*'Estado de Resultados'!I4</f>
        <v>286764000</v>
      </c>
    </row>
    <row r="5" spans="1:3">
      <c r="A5" s="88" t="s">
        <v>174</v>
      </c>
      <c r="B5" s="107">
        <v>300</v>
      </c>
      <c r="C5" s="104">
        <f>+B5*10000</f>
        <v>3000000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CD05-1C6E-674F-823E-EB807330EAE7}">
  <dimension ref="A1:R70"/>
  <sheetViews>
    <sheetView showGridLines="0" topLeftCell="F40" zoomScale="70" zoomScaleNormal="80" zoomScaleSheetLayoutView="100" workbookViewId="0">
      <selection activeCell="D41" sqref="D41:P70"/>
    </sheetView>
  </sheetViews>
  <sheetFormatPr baseColWidth="10" defaultColWidth="9.125" defaultRowHeight="14.25"/>
  <cols>
    <col min="1" max="1" width="24.875" customWidth="1"/>
    <col min="2" max="2" width="17.125" bestFit="1" customWidth="1"/>
    <col min="4" max="4" width="32.875" customWidth="1"/>
    <col min="5" max="5" width="18.25" customWidth="1"/>
    <col min="6" max="6" width="18.125" customWidth="1"/>
    <col min="7" max="7" width="18.375" customWidth="1"/>
    <col min="8" max="8" width="17.75" customWidth="1"/>
    <col min="9" max="9" width="19.25" customWidth="1"/>
    <col min="10" max="10" width="19.125" customWidth="1"/>
    <col min="11" max="11" width="18.75" customWidth="1"/>
    <col min="12" max="12" width="20.625" customWidth="1"/>
    <col min="13" max="13" width="18.625" customWidth="1"/>
    <col min="14" max="14" width="17.625" customWidth="1"/>
    <col min="15" max="15" width="19.5" customWidth="1"/>
    <col min="16" max="16" width="18.375" customWidth="1"/>
  </cols>
  <sheetData>
    <row r="1" spans="1:16" ht="15">
      <c r="A1" s="1" t="s">
        <v>175</v>
      </c>
      <c r="D1" s="3" t="s">
        <v>119</v>
      </c>
      <c r="E1" s="4"/>
      <c r="F1" s="226" t="s">
        <v>120</v>
      </c>
      <c r="G1" s="226"/>
      <c r="H1" s="226"/>
      <c r="I1" s="226"/>
      <c r="J1" s="226"/>
      <c r="K1" s="226"/>
      <c r="L1" s="226"/>
      <c r="M1" s="226"/>
      <c r="N1" s="226"/>
      <c r="O1" s="226"/>
      <c r="P1" s="227"/>
    </row>
    <row r="2" spans="1:16" ht="15">
      <c r="D2" s="4"/>
      <c r="E2" s="18" t="s">
        <v>121</v>
      </c>
      <c r="F2" s="18">
        <v>0</v>
      </c>
      <c r="G2" s="18">
        <v>1</v>
      </c>
      <c r="H2" s="18">
        <v>2</v>
      </c>
      <c r="I2" s="18">
        <v>3</v>
      </c>
      <c r="J2" s="18">
        <v>4</v>
      </c>
      <c r="K2" s="18">
        <v>5</v>
      </c>
      <c r="L2" s="18">
        <v>6</v>
      </c>
      <c r="M2" s="18">
        <v>7</v>
      </c>
      <c r="N2" s="18">
        <v>8</v>
      </c>
      <c r="O2" s="72">
        <v>9</v>
      </c>
      <c r="P2" s="18">
        <v>10</v>
      </c>
    </row>
    <row r="3" spans="1:16" ht="15">
      <c r="A3" s="4" t="s">
        <v>176</v>
      </c>
      <c r="B3" s="29">
        <f>+Inversion!C3</f>
        <v>4800000</v>
      </c>
      <c r="D3" s="3" t="s">
        <v>123</v>
      </c>
      <c r="E3" s="4"/>
      <c r="F3" s="4"/>
      <c r="G3" s="4"/>
      <c r="H3" s="4"/>
      <c r="I3" s="4"/>
      <c r="J3" s="4"/>
      <c r="K3" s="4"/>
      <c r="L3" s="4"/>
      <c r="M3" s="4"/>
      <c r="N3" s="4"/>
      <c r="O3" s="73"/>
      <c r="P3" s="4"/>
    </row>
    <row r="4" spans="1:16" ht="15">
      <c r="A4" s="4" t="str">
        <f>+Inversion!A4</f>
        <v xml:space="preserve">Compra de aves </v>
      </c>
      <c r="B4" s="29">
        <f>+Inversion!C4</f>
        <v>286764000</v>
      </c>
      <c r="D4" s="4" t="s">
        <v>177</v>
      </c>
      <c r="E4" s="103">
        <v>0</v>
      </c>
      <c r="F4" s="4"/>
      <c r="G4" s="41">
        <f>(+'Estado de Resultados'!G26+'Estado de Resultados'!G27)*12</f>
        <v>1300781.0084291231</v>
      </c>
      <c r="H4" s="41">
        <f t="shared" ref="H4:P4" si="0">+(G4*$E$4)+G4</f>
        <v>1300781.0084291231</v>
      </c>
      <c r="I4" s="41">
        <f t="shared" si="0"/>
        <v>1300781.0084291231</v>
      </c>
      <c r="J4" s="41">
        <f t="shared" si="0"/>
        <v>1300781.0084291231</v>
      </c>
      <c r="K4" s="41">
        <f t="shared" si="0"/>
        <v>1300781.0084291231</v>
      </c>
      <c r="L4" s="41">
        <f t="shared" si="0"/>
        <v>1300781.0084291231</v>
      </c>
      <c r="M4" s="41">
        <f t="shared" si="0"/>
        <v>1300781.0084291231</v>
      </c>
      <c r="N4" s="41">
        <f t="shared" si="0"/>
        <v>1300781.0084291231</v>
      </c>
      <c r="O4" s="41">
        <f t="shared" si="0"/>
        <v>1300781.0084291231</v>
      </c>
      <c r="P4" s="41">
        <f t="shared" si="0"/>
        <v>1300781.0084291231</v>
      </c>
    </row>
    <row r="5" spans="1:16" ht="15">
      <c r="A5" s="5" t="s">
        <v>174</v>
      </c>
      <c r="B5" s="29">
        <f>+Inversion!C5</f>
        <v>3000000</v>
      </c>
      <c r="D5" s="4" t="s">
        <v>126</v>
      </c>
      <c r="E5" s="103">
        <v>0</v>
      </c>
      <c r="F5" s="4"/>
      <c r="G5" s="29">
        <f>'Estado de Resultados'!H26</f>
        <v>850</v>
      </c>
      <c r="H5" s="29">
        <f>((G5*$E$5)+G5)</f>
        <v>850</v>
      </c>
      <c r="I5" s="29">
        <f>((H5*$E$5)+H5)</f>
        <v>850</v>
      </c>
      <c r="J5" s="29">
        <f t="shared" ref="J5:P5" si="1">((I5*$E$5)+I5)</f>
        <v>850</v>
      </c>
      <c r="K5" s="29">
        <f t="shared" si="1"/>
        <v>850</v>
      </c>
      <c r="L5" s="29">
        <f t="shared" si="1"/>
        <v>850</v>
      </c>
      <c r="M5" s="29">
        <f t="shared" si="1"/>
        <v>850</v>
      </c>
      <c r="N5" s="29">
        <f t="shared" si="1"/>
        <v>850</v>
      </c>
      <c r="O5" s="29">
        <f t="shared" si="1"/>
        <v>850</v>
      </c>
      <c r="P5" s="29">
        <f t="shared" si="1"/>
        <v>850</v>
      </c>
    </row>
    <row r="6" spans="1:16" ht="15">
      <c r="A6" s="88" t="s">
        <v>178</v>
      </c>
      <c r="B6" s="102">
        <f>(SUM(B3:B5))</f>
        <v>294564000</v>
      </c>
      <c r="D6" s="4"/>
      <c r="E6" s="103">
        <v>0</v>
      </c>
      <c r="F6" s="4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>
      <c r="D7" s="3" t="s">
        <v>127</v>
      </c>
      <c r="E7" s="103"/>
      <c r="F7" s="4"/>
      <c r="G7" s="29">
        <f>G4*G5</f>
        <v>1105663857.1647546</v>
      </c>
      <c r="H7" s="29">
        <f t="shared" ref="H7:P7" si="2">H4*H5</f>
        <v>1105663857.1647546</v>
      </c>
      <c r="I7" s="29">
        <f t="shared" si="2"/>
        <v>1105663857.1647546</v>
      </c>
      <c r="J7" s="29">
        <f t="shared" si="2"/>
        <v>1105663857.1647546</v>
      </c>
      <c r="K7" s="29">
        <f t="shared" si="2"/>
        <v>1105663857.1647546</v>
      </c>
      <c r="L7" s="29">
        <f t="shared" si="2"/>
        <v>1105663857.1647546</v>
      </c>
      <c r="M7" s="29">
        <f t="shared" si="2"/>
        <v>1105663857.1647546</v>
      </c>
      <c r="N7" s="29">
        <f t="shared" si="2"/>
        <v>1105663857.1647546</v>
      </c>
      <c r="O7" s="29">
        <f t="shared" si="2"/>
        <v>1105663857.1647546</v>
      </c>
      <c r="P7" s="29">
        <f t="shared" si="2"/>
        <v>1105663857.1647546</v>
      </c>
    </row>
    <row r="8" spans="1:16" ht="15">
      <c r="A8" s="224" t="s">
        <v>128</v>
      </c>
      <c r="B8" s="225"/>
    </row>
    <row r="9" spans="1:16" ht="15">
      <c r="A9" s="4" t="s">
        <v>179</v>
      </c>
      <c r="B9" s="29">
        <f>(B6/10)</f>
        <v>29456400</v>
      </c>
      <c r="D9" s="3" t="s">
        <v>130</v>
      </c>
      <c r="E9" s="4"/>
      <c r="F9" s="5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">
      <c r="A10" s="4" t="s">
        <v>131</v>
      </c>
      <c r="B10" s="29">
        <f>(B6*0.1)</f>
        <v>29456400</v>
      </c>
      <c r="D10" s="4" t="s">
        <v>132</v>
      </c>
      <c r="E10" s="103">
        <v>0</v>
      </c>
      <c r="F10" s="88"/>
      <c r="G10" s="102">
        <f>'Estado de Resultados'!G13</f>
        <v>615.21586835080018</v>
      </c>
      <c r="H10" s="29">
        <f>(G10*$E$10)+G10</f>
        <v>615.21586835080018</v>
      </c>
      <c r="I10" s="29">
        <f t="shared" ref="I10:P10" si="3">(H10*$E$10)+H10</f>
        <v>615.21586835080018</v>
      </c>
      <c r="J10" s="29">
        <f t="shared" si="3"/>
        <v>615.21586835080018</v>
      </c>
      <c r="K10" s="29">
        <f t="shared" si="3"/>
        <v>615.21586835080018</v>
      </c>
      <c r="L10" s="29">
        <f t="shared" si="3"/>
        <v>615.21586835080018</v>
      </c>
      <c r="M10" s="29">
        <f t="shared" si="3"/>
        <v>615.21586835080018</v>
      </c>
      <c r="N10" s="29">
        <f t="shared" si="3"/>
        <v>615.21586835080018</v>
      </c>
      <c r="O10" s="29">
        <f t="shared" si="3"/>
        <v>615.21586835080018</v>
      </c>
      <c r="P10" s="29">
        <f t="shared" si="3"/>
        <v>615.21586835080018</v>
      </c>
    </row>
    <row r="11" spans="1:16" ht="15">
      <c r="D11" s="4" t="s">
        <v>133</v>
      </c>
      <c r="E11" s="103">
        <v>0</v>
      </c>
      <c r="F11" s="88"/>
      <c r="G11" s="102">
        <f>'Estado de Resultados'!G19*12</f>
        <v>800261117.63495243</v>
      </c>
      <c r="H11" s="29">
        <f>+(G11*$E$11)+G11</f>
        <v>800261117.63495243</v>
      </c>
      <c r="I11" s="29">
        <f>(H11*$E$10)+H11</f>
        <v>800261117.63495243</v>
      </c>
      <c r="J11" s="29">
        <f t="shared" ref="J11:P11" si="4">(I11*$E$10)+I11</f>
        <v>800261117.63495243</v>
      </c>
      <c r="K11" s="29">
        <f t="shared" si="4"/>
        <v>800261117.63495243</v>
      </c>
      <c r="L11" s="29">
        <f t="shared" si="4"/>
        <v>800261117.63495243</v>
      </c>
      <c r="M11" s="29">
        <f t="shared" si="4"/>
        <v>800261117.63495243</v>
      </c>
      <c r="N11" s="29">
        <f t="shared" si="4"/>
        <v>800261117.63495243</v>
      </c>
      <c r="O11" s="29">
        <f t="shared" si="4"/>
        <v>800261117.63495243</v>
      </c>
      <c r="P11" s="29">
        <f t="shared" si="4"/>
        <v>800261117.63495243</v>
      </c>
    </row>
    <row r="12" spans="1:16" ht="15">
      <c r="D12" s="4" t="s">
        <v>0</v>
      </c>
      <c r="E12" s="103">
        <v>0</v>
      </c>
      <c r="F12" s="88"/>
      <c r="G12" s="102">
        <f>'Estado de Resultados'!G11*12</f>
        <v>177091200</v>
      </c>
      <c r="H12" s="29">
        <f>+(G12*E12)+G12</f>
        <v>177091200</v>
      </c>
      <c r="I12" s="29">
        <f t="shared" ref="I12:P12" si="5">(H12*$E$10)+H12</f>
        <v>177091200</v>
      </c>
      <c r="J12" s="29">
        <f t="shared" si="5"/>
        <v>177091200</v>
      </c>
      <c r="K12" s="29">
        <f t="shared" si="5"/>
        <v>177091200</v>
      </c>
      <c r="L12" s="29">
        <f t="shared" si="5"/>
        <v>177091200</v>
      </c>
      <c r="M12" s="29">
        <f t="shared" si="5"/>
        <v>177091200</v>
      </c>
      <c r="N12" s="29">
        <f t="shared" si="5"/>
        <v>177091200</v>
      </c>
      <c r="O12" s="29">
        <f t="shared" si="5"/>
        <v>177091200</v>
      </c>
      <c r="P12" s="29">
        <f t="shared" si="5"/>
        <v>177091200</v>
      </c>
    </row>
    <row r="13" spans="1:16" ht="15">
      <c r="D13" s="4" t="s">
        <v>134</v>
      </c>
      <c r="E13" s="73"/>
      <c r="F13" s="88"/>
      <c r="G13" s="102">
        <f>$B$9</f>
        <v>29456400</v>
      </c>
      <c r="H13" s="102">
        <f>$B$9</f>
        <v>29456400</v>
      </c>
      <c r="I13" s="102">
        <f>$B$9</f>
        <v>29456400</v>
      </c>
      <c r="J13" s="102">
        <f t="shared" ref="J13:P13" si="6">$B$9</f>
        <v>29456400</v>
      </c>
      <c r="K13" s="102">
        <f t="shared" si="6"/>
        <v>29456400</v>
      </c>
      <c r="L13" s="102">
        <f t="shared" si="6"/>
        <v>29456400</v>
      </c>
      <c r="M13" s="102">
        <f t="shared" si="6"/>
        <v>29456400</v>
      </c>
      <c r="N13" s="102">
        <f t="shared" si="6"/>
        <v>29456400</v>
      </c>
      <c r="O13" s="102">
        <f t="shared" si="6"/>
        <v>29456400</v>
      </c>
      <c r="P13" s="102">
        <f t="shared" si="6"/>
        <v>29456400</v>
      </c>
    </row>
    <row r="15" spans="1:16" ht="15">
      <c r="D15" s="3" t="s">
        <v>135</v>
      </c>
      <c r="E15" s="4"/>
      <c r="F15" s="4"/>
      <c r="G15" s="29">
        <f t="shared" ref="G15:P15" si="7">(G7-G10-G11-G12-G13)</f>
        <v>98854524.313933969</v>
      </c>
      <c r="H15" s="29">
        <f t="shared" si="7"/>
        <v>98854524.313933969</v>
      </c>
      <c r="I15" s="29">
        <f t="shared" si="7"/>
        <v>98854524.313933969</v>
      </c>
      <c r="J15" s="29">
        <f t="shared" si="7"/>
        <v>98854524.313933969</v>
      </c>
      <c r="K15" s="29">
        <f t="shared" si="7"/>
        <v>98854524.313933969</v>
      </c>
      <c r="L15" s="29">
        <f t="shared" si="7"/>
        <v>98854524.313933969</v>
      </c>
      <c r="M15" s="29">
        <f t="shared" si="7"/>
        <v>98854524.313933969</v>
      </c>
      <c r="N15" s="29">
        <f t="shared" si="7"/>
        <v>98854524.313933969</v>
      </c>
      <c r="O15" s="29">
        <f t="shared" si="7"/>
        <v>98854524.313933969</v>
      </c>
      <c r="P15" s="29">
        <f t="shared" si="7"/>
        <v>98854524.313933969</v>
      </c>
    </row>
    <row r="16" spans="1:16" ht="15">
      <c r="D16" s="4" t="s">
        <v>136</v>
      </c>
      <c r="E16" s="89">
        <v>0.25</v>
      </c>
      <c r="F16" s="4"/>
      <c r="G16" s="29">
        <f>G15*$E$16</f>
        <v>24713631.078483492</v>
      </c>
      <c r="H16" s="29">
        <f t="shared" ref="H16:K16" si="8">H15*$E$16</f>
        <v>24713631.078483492</v>
      </c>
      <c r="I16" s="29">
        <f t="shared" si="8"/>
        <v>24713631.078483492</v>
      </c>
      <c r="J16" s="29">
        <f t="shared" si="8"/>
        <v>24713631.078483492</v>
      </c>
      <c r="K16" s="29">
        <f t="shared" si="8"/>
        <v>24713631.078483492</v>
      </c>
      <c r="L16" s="29">
        <f t="shared" ref="L16" si="9">L15*$E$16</f>
        <v>24713631.078483492</v>
      </c>
      <c r="M16" s="29">
        <f t="shared" ref="M16" si="10">M15*$E$16</f>
        <v>24713631.078483492</v>
      </c>
      <c r="N16" s="29">
        <f t="shared" ref="N16:O16" si="11">N15*$E$16</f>
        <v>24713631.078483492</v>
      </c>
      <c r="O16" s="29">
        <f t="shared" si="11"/>
        <v>24713631.078483492</v>
      </c>
      <c r="P16" s="29">
        <f t="shared" ref="P16" si="12">P15*$E$16</f>
        <v>24713631.078483492</v>
      </c>
    </row>
    <row r="18" spans="1:16" ht="15">
      <c r="D18" s="3" t="s">
        <v>137</v>
      </c>
      <c r="E18" s="4"/>
      <c r="F18" s="4"/>
      <c r="G18" s="29">
        <f>G15-G16</f>
        <v>74140893.235450476</v>
      </c>
      <c r="H18" s="29">
        <f t="shared" ref="H18:P18" si="13">H15-H16</f>
        <v>74140893.235450476</v>
      </c>
      <c r="I18" s="29">
        <f t="shared" si="13"/>
        <v>74140893.235450476</v>
      </c>
      <c r="J18" s="29">
        <f t="shared" si="13"/>
        <v>74140893.235450476</v>
      </c>
      <c r="K18" s="29">
        <f t="shared" si="13"/>
        <v>74140893.235450476</v>
      </c>
      <c r="L18" s="29">
        <f>L15-L16</f>
        <v>74140893.235450476</v>
      </c>
      <c r="M18" s="29">
        <f t="shared" si="13"/>
        <v>74140893.235450476</v>
      </c>
      <c r="N18" s="29">
        <f t="shared" si="13"/>
        <v>74140893.235450476</v>
      </c>
      <c r="O18" s="29">
        <f t="shared" si="13"/>
        <v>74140893.235450476</v>
      </c>
      <c r="P18" s="29">
        <f t="shared" si="13"/>
        <v>74140893.235450476</v>
      </c>
    </row>
    <row r="20" spans="1:16" ht="15">
      <c r="D20" s="4" t="s">
        <v>128</v>
      </c>
      <c r="E20" s="4"/>
      <c r="F20" s="4"/>
      <c r="G20" s="29">
        <f>$B$9</f>
        <v>29456400</v>
      </c>
      <c r="H20" s="29">
        <f t="shared" ref="H20:P20" si="14">$B$9</f>
        <v>29456400</v>
      </c>
      <c r="I20" s="29">
        <f t="shared" si="14"/>
        <v>29456400</v>
      </c>
      <c r="J20" s="29">
        <f t="shared" si="14"/>
        <v>29456400</v>
      </c>
      <c r="K20" s="29">
        <f t="shared" si="14"/>
        <v>29456400</v>
      </c>
      <c r="L20" s="29">
        <f>$B$9</f>
        <v>29456400</v>
      </c>
      <c r="M20" s="29">
        <f t="shared" si="14"/>
        <v>29456400</v>
      </c>
      <c r="N20" s="29">
        <f t="shared" si="14"/>
        <v>29456400</v>
      </c>
      <c r="O20" s="29">
        <f t="shared" si="14"/>
        <v>29456400</v>
      </c>
      <c r="P20" s="29">
        <f t="shared" si="14"/>
        <v>29456400</v>
      </c>
    </row>
    <row r="21" spans="1:16" ht="15">
      <c r="D21" s="4" t="s">
        <v>138</v>
      </c>
      <c r="E21" s="4"/>
      <c r="F21" s="4"/>
      <c r="G21" s="29">
        <f>+Flujograma!BO35+Flujograma!BO47*'Estado de Resultados'!I5</f>
        <v>51400249.426009305</v>
      </c>
      <c r="H21" s="29">
        <f>(G21*$E$4)+G21</f>
        <v>51400249.426009305</v>
      </c>
      <c r="I21" s="29">
        <f t="shared" ref="I21:P21" si="15">(H21*$E$4)+H21</f>
        <v>51400249.426009305</v>
      </c>
      <c r="J21" s="29">
        <f t="shared" si="15"/>
        <v>51400249.426009305</v>
      </c>
      <c r="K21" s="29">
        <f t="shared" si="15"/>
        <v>51400249.426009305</v>
      </c>
      <c r="L21" s="29">
        <f t="shared" si="15"/>
        <v>51400249.426009305</v>
      </c>
      <c r="M21" s="29">
        <f t="shared" si="15"/>
        <v>51400249.426009305</v>
      </c>
      <c r="N21" s="29">
        <f t="shared" si="15"/>
        <v>51400249.426009305</v>
      </c>
      <c r="O21" s="29">
        <f t="shared" si="15"/>
        <v>51400249.426009305</v>
      </c>
      <c r="P21" s="29">
        <f t="shared" si="15"/>
        <v>51400249.426009305</v>
      </c>
    </row>
    <row r="22" spans="1:16" ht="15">
      <c r="D22" s="4" t="s">
        <v>139</v>
      </c>
      <c r="E22" s="4"/>
      <c r="F22" s="105">
        <f>-B6</f>
        <v>-294564000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5">
      <c r="A23" s="44"/>
      <c r="F23" s="106"/>
    </row>
    <row r="24" spans="1:16" ht="15">
      <c r="D24" s="3" t="s">
        <v>140</v>
      </c>
      <c r="E24" s="4"/>
      <c r="F24" s="105">
        <f>+F22</f>
        <v>-294564000</v>
      </c>
      <c r="G24" s="29">
        <f>G18+G20+G21</f>
        <v>154997542.66145977</v>
      </c>
      <c r="H24" s="29">
        <f t="shared" ref="H24:O24" si="16">H18+H20+H21</f>
        <v>154997542.66145977</v>
      </c>
      <c r="I24" s="29">
        <f t="shared" si="16"/>
        <v>154997542.66145977</v>
      </c>
      <c r="J24" s="29">
        <f t="shared" si="16"/>
        <v>154997542.66145977</v>
      </c>
      <c r="K24" s="29">
        <f t="shared" si="16"/>
        <v>154997542.66145977</v>
      </c>
      <c r="L24" s="29">
        <f t="shared" si="16"/>
        <v>154997542.66145977</v>
      </c>
      <c r="M24" s="29">
        <f t="shared" si="16"/>
        <v>154997542.66145977</v>
      </c>
      <c r="N24" s="29">
        <f t="shared" si="16"/>
        <v>154997542.66145977</v>
      </c>
      <c r="O24" s="29">
        <f t="shared" si="16"/>
        <v>154997542.66145977</v>
      </c>
      <c r="P24" s="29">
        <f>P18+P20+P21</f>
        <v>154997542.66145977</v>
      </c>
    </row>
    <row r="25" spans="1:16" ht="15">
      <c r="F25" s="106"/>
    </row>
    <row r="26" spans="1:16" ht="15">
      <c r="D26" t="s">
        <v>141</v>
      </c>
      <c r="F26" s="168">
        <f>+F24</f>
        <v>-294564000</v>
      </c>
      <c r="G26" s="168">
        <f>+F26+G24</f>
        <v>-139566457.33854023</v>
      </c>
      <c r="H26" s="168">
        <f t="shared" ref="H26:P26" si="17">+G26+H24</f>
        <v>15431085.322919548</v>
      </c>
      <c r="I26" s="168">
        <f t="shared" si="17"/>
        <v>170428627.98437932</v>
      </c>
      <c r="J26" s="168">
        <f t="shared" si="17"/>
        <v>325426170.6458391</v>
      </c>
      <c r="K26" s="168">
        <f t="shared" si="17"/>
        <v>480423713.3072989</v>
      </c>
      <c r="L26" s="168">
        <f t="shared" si="17"/>
        <v>635421255.9687587</v>
      </c>
      <c r="M26" s="168">
        <f t="shared" si="17"/>
        <v>790418798.63021851</v>
      </c>
      <c r="N26" s="168">
        <f t="shared" si="17"/>
        <v>945416341.29167831</v>
      </c>
      <c r="O26" s="168">
        <f t="shared" si="17"/>
        <v>1100413883.9531381</v>
      </c>
      <c r="P26" s="168">
        <f t="shared" si="17"/>
        <v>1255411426.6145978</v>
      </c>
    </row>
    <row r="27" spans="1:16" ht="15">
      <c r="D27" t="s">
        <v>142</v>
      </c>
      <c r="E27" s="117">
        <v>0.12</v>
      </c>
      <c r="F27" s="44">
        <f>F24+NPV(E27,G24:P24)</f>
        <v>581206684.89287496</v>
      </c>
    </row>
    <row r="28" spans="1:16">
      <c r="D28" t="s">
        <v>143</v>
      </c>
      <c r="F28" s="200">
        <f>IRR(F24:P24)</f>
        <v>0.51809947371968246</v>
      </c>
    </row>
    <row r="30" spans="1:16" ht="15">
      <c r="D30" s="3" t="s">
        <v>144</v>
      </c>
      <c r="E30" s="31" t="s">
        <v>145</v>
      </c>
      <c r="F30" s="3" t="s">
        <v>146</v>
      </c>
      <c r="H30" t="s">
        <v>180</v>
      </c>
    </row>
    <row r="31" spans="1:16">
      <c r="D31" s="4" t="s">
        <v>181</v>
      </c>
      <c r="E31" s="109">
        <v>0.7</v>
      </c>
      <c r="F31" s="9">
        <f>+B6*E31</f>
        <v>206194800</v>
      </c>
    </row>
    <row r="32" spans="1:16">
      <c r="D32" s="4" t="s">
        <v>148</v>
      </c>
      <c r="E32" s="109">
        <v>0.3</v>
      </c>
      <c r="F32" s="9">
        <f>+B6*E32</f>
        <v>88369200</v>
      </c>
    </row>
    <row r="33" spans="4:18">
      <c r="D33" s="4" t="s">
        <v>149</v>
      </c>
      <c r="E33" s="109">
        <f>+SUM(E31:E32)</f>
        <v>1</v>
      </c>
      <c r="F33" s="9">
        <f>+SUM(F31:F32)</f>
        <v>294564000</v>
      </c>
    </row>
    <row r="35" spans="4:18" ht="15">
      <c r="D35" s="3" t="s">
        <v>182</v>
      </c>
      <c r="E35" s="4"/>
    </row>
    <row r="36" spans="4:18">
      <c r="D36" s="4" t="s">
        <v>151</v>
      </c>
      <c r="E36" s="9">
        <f>+F31</f>
        <v>206194800</v>
      </c>
    </row>
    <row r="37" spans="4:18">
      <c r="D37" s="4" t="s">
        <v>152</v>
      </c>
      <c r="E37" s="94">
        <v>0.18</v>
      </c>
    </row>
    <row r="38" spans="4:18">
      <c r="D38" s="4" t="s">
        <v>153</v>
      </c>
      <c r="E38" s="4">
        <v>10</v>
      </c>
    </row>
    <row r="39" spans="4:18">
      <c r="D39" s="4" t="s">
        <v>154</v>
      </c>
      <c r="E39" s="100">
        <f>+PMT(E37,E38,E36)</f>
        <v>-45881361.965139583</v>
      </c>
    </row>
    <row r="41" spans="4:18" ht="15">
      <c r="D41" s="31" t="s">
        <v>155</v>
      </c>
      <c r="E41" s="77"/>
      <c r="F41" s="77"/>
      <c r="G41" s="67">
        <v>1</v>
      </c>
      <c r="H41" s="67">
        <v>2</v>
      </c>
      <c r="I41" s="67">
        <v>3</v>
      </c>
      <c r="J41" s="67">
        <v>4</v>
      </c>
      <c r="K41" s="67">
        <v>5</v>
      </c>
      <c r="L41" s="67">
        <v>6</v>
      </c>
      <c r="M41" s="67">
        <v>7</v>
      </c>
      <c r="N41" s="67">
        <v>8</v>
      </c>
      <c r="O41" s="67">
        <v>9</v>
      </c>
      <c r="P41" s="68">
        <v>10</v>
      </c>
      <c r="Q41" s="32"/>
      <c r="R41" s="32"/>
    </row>
    <row r="42" spans="4:18">
      <c r="D42" s="73" t="s">
        <v>156</v>
      </c>
      <c r="E42" s="78"/>
      <c r="F42" s="78"/>
      <c r="G42" s="110">
        <f>+F31</f>
        <v>206194800</v>
      </c>
      <c r="H42" s="110">
        <f>+G46</f>
        <v>197428502.03486043</v>
      </c>
      <c r="I42" s="110">
        <f>+H46</f>
        <v>187084270.43599573</v>
      </c>
      <c r="J42" s="110">
        <f t="shared" ref="J42:P42" si="18">+I46</f>
        <v>174878077.14933538</v>
      </c>
      <c r="K42" s="110">
        <f t="shared" si="18"/>
        <v>160474769.07107615</v>
      </c>
      <c r="L42" s="110">
        <f t="shared" si="18"/>
        <v>143478865.53873026</v>
      </c>
      <c r="M42" s="110">
        <f t="shared" si="18"/>
        <v>123423699.37056214</v>
      </c>
      <c r="N42" s="110">
        <f t="shared" si="18"/>
        <v>99758603.292123735</v>
      </c>
      <c r="O42" s="110">
        <f t="shared" si="18"/>
        <v>71833789.919566423</v>
      </c>
      <c r="P42" s="113">
        <f t="shared" si="18"/>
        <v>38882510.1399488</v>
      </c>
    </row>
    <row r="43" spans="4:18">
      <c r="D43" s="73" t="s">
        <v>157</v>
      </c>
      <c r="E43" s="78"/>
      <c r="F43" s="78"/>
      <c r="G43" s="110">
        <f>-$E$39</f>
        <v>45881361.965139583</v>
      </c>
      <c r="H43" s="110">
        <f t="shared" ref="H43:P43" si="19">-$E$39</f>
        <v>45881361.965139583</v>
      </c>
      <c r="I43" s="110">
        <f t="shared" si="19"/>
        <v>45881361.965139583</v>
      </c>
      <c r="J43" s="110">
        <f t="shared" si="19"/>
        <v>45881361.965139583</v>
      </c>
      <c r="K43" s="110">
        <f t="shared" si="19"/>
        <v>45881361.965139583</v>
      </c>
      <c r="L43" s="110">
        <f t="shared" si="19"/>
        <v>45881361.965139583</v>
      </c>
      <c r="M43" s="110">
        <f t="shared" si="19"/>
        <v>45881361.965139583</v>
      </c>
      <c r="N43" s="110">
        <f t="shared" si="19"/>
        <v>45881361.965139583</v>
      </c>
      <c r="O43" s="110">
        <f t="shared" si="19"/>
        <v>45881361.965139583</v>
      </c>
      <c r="P43" s="113">
        <f t="shared" si="19"/>
        <v>45881361.965139583</v>
      </c>
    </row>
    <row r="44" spans="4:18">
      <c r="D44" s="73" t="s">
        <v>158</v>
      </c>
      <c r="E44" s="78"/>
      <c r="F44" s="78"/>
      <c r="G44" s="110">
        <f>G42*$E$37</f>
        <v>37115064</v>
      </c>
      <c r="H44" s="110">
        <f t="shared" ref="H44:P44" si="20">H42*$E$37</f>
        <v>35537130.366274878</v>
      </c>
      <c r="I44" s="110">
        <f t="shared" si="20"/>
        <v>33675168.678479232</v>
      </c>
      <c r="J44" s="110">
        <f t="shared" si="20"/>
        <v>31478053.886880368</v>
      </c>
      <c r="K44" s="110">
        <f t="shared" si="20"/>
        <v>28885458.432793707</v>
      </c>
      <c r="L44" s="110">
        <f t="shared" si="20"/>
        <v>25826195.796971448</v>
      </c>
      <c r="M44" s="110">
        <f t="shared" si="20"/>
        <v>22216265.886701185</v>
      </c>
      <c r="N44" s="110">
        <f t="shared" si="20"/>
        <v>17956548.592582271</v>
      </c>
      <c r="O44" s="110">
        <f t="shared" si="20"/>
        <v>12930082.185521957</v>
      </c>
      <c r="P44" s="113">
        <f t="shared" si="20"/>
        <v>6998851.8251907835</v>
      </c>
    </row>
    <row r="45" spans="4:18">
      <c r="D45" s="73" t="s">
        <v>159</v>
      </c>
      <c r="E45" s="63"/>
      <c r="F45" s="63"/>
      <c r="G45" s="111">
        <f>+G43-G44</f>
        <v>8766297.9651395828</v>
      </c>
      <c r="H45" s="111">
        <f t="shared" ref="H45:P45" si="21">+H43-H44</f>
        <v>10344231.598864704</v>
      </c>
      <c r="I45" s="111">
        <f t="shared" si="21"/>
        <v>12206193.286660351</v>
      </c>
      <c r="J45" s="111">
        <f t="shared" si="21"/>
        <v>14403308.078259215</v>
      </c>
      <c r="K45" s="111">
        <f t="shared" si="21"/>
        <v>16995903.532345876</v>
      </c>
      <c r="L45" s="111">
        <f t="shared" si="21"/>
        <v>20055166.168168135</v>
      </c>
      <c r="M45" s="111">
        <f t="shared" si="21"/>
        <v>23665096.078438397</v>
      </c>
      <c r="N45" s="111">
        <f t="shared" si="21"/>
        <v>27924813.372557312</v>
      </c>
      <c r="O45" s="111">
        <f t="shared" si="21"/>
        <v>32951279.779617626</v>
      </c>
      <c r="P45" s="114">
        <f t="shared" si="21"/>
        <v>38882510.1399488</v>
      </c>
    </row>
    <row r="46" spans="4:18">
      <c r="D46" s="73" t="s">
        <v>160</v>
      </c>
      <c r="E46" s="79"/>
      <c r="F46" s="79"/>
      <c r="G46" s="112">
        <f>+G42-G45</f>
        <v>197428502.03486043</v>
      </c>
      <c r="H46" s="112">
        <f t="shared" ref="H46:P46" si="22">+H42-H45</f>
        <v>187084270.43599573</v>
      </c>
      <c r="I46" s="112">
        <f t="shared" si="22"/>
        <v>174878077.14933538</v>
      </c>
      <c r="J46" s="112">
        <f t="shared" si="22"/>
        <v>160474769.07107615</v>
      </c>
      <c r="K46" s="112">
        <f t="shared" si="22"/>
        <v>143478865.53873026</v>
      </c>
      <c r="L46" s="112">
        <f t="shared" si="22"/>
        <v>123423699.37056214</v>
      </c>
      <c r="M46" s="112">
        <f t="shared" si="22"/>
        <v>99758603.292123735</v>
      </c>
      <c r="N46" s="112">
        <f t="shared" si="22"/>
        <v>71833789.919566423</v>
      </c>
      <c r="O46" s="112">
        <f t="shared" si="22"/>
        <v>38882510.1399488</v>
      </c>
      <c r="P46" s="115">
        <f t="shared" si="22"/>
        <v>0</v>
      </c>
    </row>
    <row r="49" spans="4:16" ht="15">
      <c r="D49" s="62" t="s">
        <v>161</v>
      </c>
      <c r="E49" s="63"/>
      <c r="F49" s="63"/>
      <c r="G49" s="67">
        <v>1</v>
      </c>
      <c r="H49" s="67">
        <v>2</v>
      </c>
      <c r="I49" s="67">
        <v>3</v>
      </c>
      <c r="J49" s="67">
        <v>4</v>
      </c>
      <c r="K49" s="67">
        <v>5</v>
      </c>
      <c r="L49" s="67">
        <v>6</v>
      </c>
      <c r="M49" s="67">
        <v>7</v>
      </c>
      <c r="N49" s="67">
        <v>8</v>
      </c>
      <c r="O49" s="67">
        <v>9</v>
      </c>
      <c r="P49" s="68">
        <v>10</v>
      </c>
    </row>
    <row r="50" spans="4:16">
      <c r="D50" s="84" t="s">
        <v>162</v>
      </c>
      <c r="E50" s="79"/>
      <c r="F50" s="79"/>
      <c r="G50" s="111">
        <f>+G7</f>
        <v>1105663857.1647546</v>
      </c>
      <c r="H50" s="111">
        <f t="shared" ref="H50:P50" si="23">+H7</f>
        <v>1105663857.1647546</v>
      </c>
      <c r="I50" s="111">
        <f t="shared" si="23"/>
        <v>1105663857.1647546</v>
      </c>
      <c r="J50" s="111">
        <f t="shared" si="23"/>
        <v>1105663857.1647546</v>
      </c>
      <c r="K50" s="111">
        <f t="shared" si="23"/>
        <v>1105663857.1647546</v>
      </c>
      <c r="L50" s="111">
        <f t="shared" si="23"/>
        <v>1105663857.1647546</v>
      </c>
      <c r="M50" s="111">
        <f t="shared" si="23"/>
        <v>1105663857.1647546</v>
      </c>
      <c r="N50" s="111">
        <f t="shared" si="23"/>
        <v>1105663857.1647546</v>
      </c>
      <c r="O50" s="111">
        <f t="shared" si="23"/>
        <v>1105663857.1647546</v>
      </c>
      <c r="P50" s="114">
        <f t="shared" si="23"/>
        <v>1105663857.1647546</v>
      </c>
    </row>
    <row r="51" spans="4:16">
      <c r="D51" s="84" t="s">
        <v>163</v>
      </c>
      <c r="E51" s="79"/>
      <c r="F51" s="79"/>
      <c r="G51" s="111">
        <f>+G11</f>
        <v>800261117.63495243</v>
      </c>
      <c r="H51" s="111">
        <f t="shared" ref="H51:P51" si="24">+H11</f>
        <v>800261117.63495243</v>
      </c>
      <c r="I51" s="111">
        <f t="shared" si="24"/>
        <v>800261117.63495243</v>
      </c>
      <c r="J51" s="111">
        <f t="shared" si="24"/>
        <v>800261117.63495243</v>
      </c>
      <c r="K51" s="111">
        <f t="shared" si="24"/>
        <v>800261117.63495243</v>
      </c>
      <c r="L51" s="111">
        <f t="shared" si="24"/>
        <v>800261117.63495243</v>
      </c>
      <c r="M51" s="111">
        <f t="shared" si="24"/>
        <v>800261117.63495243</v>
      </c>
      <c r="N51" s="111">
        <f t="shared" si="24"/>
        <v>800261117.63495243</v>
      </c>
      <c r="O51" s="111">
        <f t="shared" si="24"/>
        <v>800261117.63495243</v>
      </c>
      <c r="P51" s="114">
        <f t="shared" si="24"/>
        <v>800261117.63495243</v>
      </c>
    </row>
    <row r="52" spans="4:16">
      <c r="D52" s="84" t="s">
        <v>114</v>
      </c>
      <c r="E52" s="79"/>
      <c r="F52" s="79"/>
      <c r="G52" s="111">
        <f>+G12</f>
        <v>177091200</v>
      </c>
      <c r="H52" s="111">
        <f t="shared" ref="H52:P52" si="25">+H12</f>
        <v>177091200</v>
      </c>
      <c r="I52" s="111">
        <f t="shared" si="25"/>
        <v>177091200</v>
      </c>
      <c r="J52" s="111">
        <f t="shared" si="25"/>
        <v>177091200</v>
      </c>
      <c r="K52" s="111">
        <f t="shared" si="25"/>
        <v>177091200</v>
      </c>
      <c r="L52" s="111">
        <f t="shared" si="25"/>
        <v>177091200</v>
      </c>
      <c r="M52" s="111">
        <f t="shared" si="25"/>
        <v>177091200</v>
      </c>
      <c r="N52" s="111">
        <f t="shared" si="25"/>
        <v>177091200</v>
      </c>
      <c r="O52" s="111">
        <f t="shared" si="25"/>
        <v>177091200</v>
      </c>
      <c r="P52" s="114">
        <f t="shared" si="25"/>
        <v>177091200</v>
      </c>
    </row>
    <row r="53" spans="4:16">
      <c r="D53" s="84" t="s">
        <v>128</v>
      </c>
      <c r="E53" s="79"/>
      <c r="F53" s="79"/>
      <c r="G53" s="111">
        <f>+G13</f>
        <v>29456400</v>
      </c>
      <c r="H53" s="111">
        <f t="shared" ref="H53:P53" si="26">+H13</f>
        <v>29456400</v>
      </c>
      <c r="I53" s="111">
        <f t="shared" si="26"/>
        <v>29456400</v>
      </c>
      <c r="J53" s="111">
        <f t="shared" si="26"/>
        <v>29456400</v>
      </c>
      <c r="K53" s="111">
        <f t="shared" si="26"/>
        <v>29456400</v>
      </c>
      <c r="L53" s="111">
        <f t="shared" si="26"/>
        <v>29456400</v>
      </c>
      <c r="M53" s="111">
        <f t="shared" si="26"/>
        <v>29456400</v>
      </c>
      <c r="N53" s="111">
        <f t="shared" si="26"/>
        <v>29456400</v>
      </c>
      <c r="O53" s="111">
        <f t="shared" si="26"/>
        <v>29456400</v>
      </c>
      <c r="P53" s="114">
        <f t="shared" si="26"/>
        <v>29456400</v>
      </c>
    </row>
    <row r="54" spans="4:16">
      <c r="D54" s="82"/>
      <c r="P54" s="118"/>
    </row>
    <row r="55" spans="4:16">
      <c r="D55" s="73" t="s">
        <v>164</v>
      </c>
      <c r="E55" s="63"/>
      <c r="F55" s="63"/>
      <c r="G55" s="111">
        <f>+G44</f>
        <v>37115064</v>
      </c>
      <c r="H55" s="111">
        <f t="shared" ref="H55:P55" si="27">+H44</f>
        <v>35537130.366274878</v>
      </c>
      <c r="I55" s="111">
        <f t="shared" si="27"/>
        <v>33675168.678479232</v>
      </c>
      <c r="J55" s="111">
        <f t="shared" si="27"/>
        <v>31478053.886880368</v>
      </c>
      <c r="K55" s="111">
        <f t="shared" si="27"/>
        <v>28885458.432793707</v>
      </c>
      <c r="L55" s="111">
        <f t="shared" si="27"/>
        <v>25826195.796971448</v>
      </c>
      <c r="M55" s="111">
        <f t="shared" si="27"/>
        <v>22216265.886701185</v>
      </c>
      <c r="N55" s="111">
        <f t="shared" si="27"/>
        <v>17956548.592582271</v>
      </c>
      <c r="O55" s="111">
        <f t="shared" si="27"/>
        <v>12930082.185521957</v>
      </c>
      <c r="P55" s="114">
        <f t="shared" si="27"/>
        <v>6998851.8251907835</v>
      </c>
    </row>
    <row r="56" spans="4:16">
      <c r="D56" s="82"/>
      <c r="P56" s="118"/>
    </row>
    <row r="57" spans="4:16" ht="15">
      <c r="D57" s="31" t="s">
        <v>135</v>
      </c>
      <c r="E57" s="62"/>
      <c r="F57" s="62"/>
      <c r="G57" s="123">
        <f>+G50-G51-G52-G53-G55</f>
        <v>61740075.529802203</v>
      </c>
      <c r="H57" s="123">
        <f t="shared" ref="H57:P57" si="28">+H50-H51-H52-H53-H55</f>
        <v>63318009.163527325</v>
      </c>
      <c r="I57" s="123">
        <f t="shared" si="28"/>
        <v>65179970.851322971</v>
      </c>
      <c r="J57" s="123">
        <f t="shared" si="28"/>
        <v>67377085.642921835</v>
      </c>
      <c r="K57" s="123">
        <f t="shared" si="28"/>
        <v>69969681.097008497</v>
      </c>
      <c r="L57" s="123">
        <f t="shared" si="28"/>
        <v>73028943.732830763</v>
      </c>
      <c r="M57" s="123">
        <f t="shared" si="28"/>
        <v>76638873.643101022</v>
      </c>
      <c r="N57" s="123">
        <f t="shared" si="28"/>
        <v>80898590.937219933</v>
      </c>
      <c r="O57" s="123">
        <f t="shared" si="28"/>
        <v>85925057.344280243</v>
      </c>
      <c r="P57" s="124">
        <f t="shared" si="28"/>
        <v>91856287.704611421</v>
      </c>
    </row>
    <row r="58" spans="4:16">
      <c r="D58" s="82"/>
      <c r="P58" s="118"/>
    </row>
    <row r="59" spans="4:16">
      <c r="D59" s="73" t="s">
        <v>165</v>
      </c>
      <c r="E59" s="63"/>
      <c r="F59" s="63"/>
      <c r="G59" s="111">
        <f>+G57*$E$16</f>
        <v>15435018.882450551</v>
      </c>
      <c r="H59" s="111">
        <f t="shared" ref="H59:P59" si="29">+H57*$E$16</f>
        <v>15829502.290881831</v>
      </c>
      <c r="I59" s="111">
        <f t="shared" si="29"/>
        <v>16294992.712830743</v>
      </c>
      <c r="J59" s="111">
        <f t="shared" si="29"/>
        <v>16844271.410730459</v>
      </c>
      <c r="K59" s="111">
        <f t="shared" si="29"/>
        <v>17492420.274252124</v>
      </c>
      <c r="L59" s="111">
        <f t="shared" si="29"/>
        <v>18257235.933207691</v>
      </c>
      <c r="M59" s="111">
        <f t="shared" si="29"/>
        <v>19159718.410775255</v>
      </c>
      <c r="N59" s="111">
        <f t="shared" si="29"/>
        <v>20224647.734304983</v>
      </c>
      <c r="O59" s="111">
        <f t="shared" si="29"/>
        <v>21481264.336070061</v>
      </c>
      <c r="P59" s="114">
        <f t="shared" si="29"/>
        <v>22964071.926152855</v>
      </c>
    </row>
    <row r="60" spans="4:16">
      <c r="D60" s="82"/>
      <c r="P60" s="118"/>
    </row>
    <row r="61" spans="4:16" ht="15">
      <c r="D61" s="31" t="s">
        <v>166</v>
      </c>
      <c r="E61" s="62"/>
      <c r="F61" s="62"/>
      <c r="G61" s="125">
        <f>+G57-G59</f>
        <v>46305056.647351652</v>
      </c>
      <c r="H61" s="125">
        <f t="shared" ref="H61:P61" si="30">+H57-H59</f>
        <v>47488506.872645497</v>
      </c>
      <c r="I61" s="125">
        <f t="shared" si="30"/>
        <v>48884978.138492227</v>
      </c>
      <c r="J61" s="125">
        <f t="shared" si="30"/>
        <v>50532814.232191376</v>
      </c>
      <c r="K61" s="125">
        <f t="shared" si="30"/>
        <v>52477260.822756372</v>
      </c>
      <c r="L61" s="125">
        <f t="shared" si="30"/>
        <v>54771707.799623072</v>
      </c>
      <c r="M61" s="125">
        <f t="shared" si="30"/>
        <v>57479155.232325763</v>
      </c>
      <c r="N61" s="125">
        <f t="shared" si="30"/>
        <v>60673943.202914953</v>
      </c>
      <c r="O61" s="125">
        <f t="shared" si="30"/>
        <v>64443793.008210182</v>
      </c>
      <c r="P61" s="87">
        <f t="shared" si="30"/>
        <v>68892215.778458565</v>
      </c>
    </row>
    <row r="62" spans="4:16">
      <c r="D62" s="82"/>
      <c r="P62" s="118"/>
    </row>
    <row r="63" spans="4:16">
      <c r="D63" s="73" t="s">
        <v>128</v>
      </c>
      <c r="E63" s="63"/>
      <c r="F63" s="63"/>
      <c r="G63" s="116">
        <f>+G20</f>
        <v>29456400</v>
      </c>
      <c r="H63" s="116">
        <f t="shared" ref="H63:P63" si="31">+H20</f>
        <v>29456400</v>
      </c>
      <c r="I63" s="116">
        <f t="shared" si="31"/>
        <v>29456400</v>
      </c>
      <c r="J63" s="116">
        <f t="shared" si="31"/>
        <v>29456400</v>
      </c>
      <c r="K63" s="116">
        <f t="shared" si="31"/>
        <v>29456400</v>
      </c>
      <c r="L63" s="116">
        <f t="shared" si="31"/>
        <v>29456400</v>
      </c>
      <c r="M63" s="116">
        <f t="shared" si="31"/>
        <v>29456400</v>
      </c>
      <c r="N63" s="116">
        <f t="shared" si="31"/>
        <v>29456400</v>
      </c>
      <c r="O63" s="116">
        <f t="shared" si="31"/>
        <v>29456400</v>
      </c>
      <c r="P63" s="119">
        <f t="shared" si="31"/>
        <v>29456400</v>
      </c>
    </row>
    <row r="64" spans="4:16">
      <c r="D64" s="84" t="s">
        <v>159</v>
      </c>
      <c r="E64" s="79"/>
      <c r="F64" s="79"/>
      <c r="G64" s="112">
        <f>+G45</f>
        <v>8766297.9651395828</v>
      </c>
      <c r="H64" s="112">
        <f t="shared" ref="H64:P64" si="32">+H45</f>
        <v>10344231.598864704</v>
      </c>
      <c r="I64" s="112">
        <f t="shared" si="32"/>
        <v>12206193.286660351</v>
      </c>
      <c r="J64" s="112">
        <f t="shared" si="32"/>
        <v>14403308.078259215</v>
      </c>
      <c r="K64" s="112">
        <f t="shared" si="32"/>
        <v>16995903.532345876</v>
      </c>
      <c r="L64" s="112">
        <f t="shared" si="32"/>
        <v>20055166.168168135</v>
      </c>
      <c r="M64" s="112">
        <f t="shared" si="32"/>
        <v>23665096.078438397</v>
      </c>
      <c r="N64" s="112">
        <f t="shared" si="32"/>
        <v>27924813.372557312</v>
      </c>
      <c r="O64" s="112">
        <f t="shared" si="32"/>
        <v>32951279.779617626</v>
      </c>
      <c r="P64" s="115">
        <f t="shared" si="32"/>
        <v>38882510.1399488</v>
      </c>
    </row>
    <row r="65" spans="4:16">
      <c r="D65" s="84" t="s">
        <v>167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120">
        <f>+P21</f>
        <v>51400249.426009305</v>
      </c>
    </row>
    <row r="66" spans="4:16" ht="15">
      <c r="D66" s="85" t="s">
        <v>168</v>
      </c>
      <c r="E66" s="126"/>
      <c r="F66" s="127">
        <f>+-F32</f>
        <v>-88369200</v>
      </c>
      <c r="G66" s="128">
        <f>+G61+G63-G64+G65</f>
        <v>66995158.68221207</v>
      </c>
      <c r="H66" s="128">
        <f t="shared" ref="H66:P66" si="33">+H61+H63-H64+H65</f>
        <v>66600675.273780793</v>
      </c>
      <c r="I66" s="128">
        <f t="shared" si="33"/>
        <v>66135184.851831876</v>
      </c>
      <c r="J66" s="128">
        <f t="shared" si="33"/>
        <v>65585906.153932169</v>
      </c>
      <c r="K66" s="128">
        <f t="shared" si="33"/>
        <v>64937757.290410504</v>
      </c>
      <c r="L66" s="128">
        <f t="shared" si="33"/>
        <v>64172941.631454937</v>
      </c>
      <c r="M66" s="128">
        <f t="shared" si="33"/>
        <v>63270459.153887361</v>
      </c>
      <c r="N66" s="128">
        <f t="shared" si="33"/>
        <v>62205529.830357641</v>
      </c>
      <c r="O66" s="128">
        <f t="shared" si="33"/>
        <v>60948913.22859256</v>
      </c>
      <c r="P66" s="129">
        <f t="shared" si="33"/>
        <v>110866355.06451908</v>
      </c>
    </row>
    <row r="67" spans="4:16">
      <c r="P67" s="118"/>
    </row>
    <row r="68" spans="4:16" ht="15">
      <c r="D68" s="81" t="s">
        <v>169</v>
      </c>
      <c r="E68" s="78"/>
      <c r="F68" s="168">
        <f>+F66</f>
        <v>-88369200</v>
      </c>
      <c r="G68" s="168">
        <f>+F68+G66</f>
        <v>-21374041.31778793</v>
      </c>
      <c r="H68" s="168">
        <f t="shared" ref="H68:P68" si="34">+G68+H66</f>
        <v>45226633.955992863</v>
      </c>
      <c r="I68" s="168">
        <f t="shared" si="34"/>
        <v>111361818.80782473</v>
      </c>
      <c r="J68" s="168">
        <f t="shared" si="34"/>
        <v>176947724.96175689</v>
      </c>
      <c r="K68" s="168">
        <f t="shared" si="34"/>
        <v>241885482.2521674</v>
      </c>
      <c r="L68" s="168">
        <f t="shared" si="34"/>
        <v>306058423.88362235</v>
      </c>
      <c r="M68" s="168">
        <f t="shared" si="34"/>
        <v>369328883.03750968</v>
      </c>
      <c r="N68" s="168">
        <f t="shared" si="34"/>
        <v>431534412.86786735</v>
      </c>
      <c r="O68" s="168">
        <f t="shared" si="34"/>
        <v>492483326.09645993</v>
      </c>
      <c r="P68" s="168">
        <f t="shared" si="34"/>
        <v>603349681.16097903</v>
      </c>
    </row>
    <row r="69" spans="4:16">
      <c r="D69" s="82" t="s">
        <v>170</v>
      </c>
      <c r="E69" s="117">
        <v>0.12</v>
      </c>
      <c r="F69" s="10">
        <f>F66+NPV(E69,G66:P66)</f>
        <v>294074641.68181461</v>
      </c>
      <c r="P69" s="83"/>
    </row>
    <row r="70" spans="4:16">
      <c r="D70" s="84" t="s">
        <v>143</v>
      </c>
      <c r="E70" s="79"/>
      <c r="F70" s="156">
        <f>+IRR(F66:P66)</f>
        <v>0.74963628502296453</v>
      </c>
      <c r="G70" s="79"/>
      <c r="H70" s="79"/>
      <c r="I70" s="79"/>
      <c r="J70" s="79"/>
      <c r="K70" s="79"/>
      <c r="L70" s="79"/>
      <c r="M70" s="79"/>
      <c r="N70" s="79"/>
      <c r="O70" s="79"/>
      <c r="P70" s="76"/>
    </row>
  </sheetData>
  <mergeCells count="2">
    <mergeCell ref="F1:P1"/>
    <mergeCell ref="A8:B8"/>
  </mergeCells>
  <conditionalFormatting sqref="F26:P26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F68:P68"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d5aabd-55f9-4399-b687-0413438e00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0A33FF05DC5445B9B40A1D4DDB1C8B" ma:contentTypeVersion="6" ma:contentTypeDescription="Crear nuevo documento." ma:contentTypeScope="" ma:versionID="84f0711a6ef13d18c7db2c1864fa11e8">
  <xsd:schema xmlns:xsd="http://www.w3.org/2001/XMLSchema" xmlns:xs="http://www.w3.org/2001/XMLSchema" xmlns:p="http://schemas.microsoft.com/office/2006/metadata/properties" xmlns:ns3="72d5aabd-55f9-4399-b687-0413438e00ee" targetNamespace="http://schemas.microsoft.com/office/2006/metadata/properties" ma:root="true" ma:fieldsID="2bd40e6da2045c05a8c5802a2e164417" ns3:_="">
    <xsd:import namespace="72d5aabd-55f9-4399-b687-0413438e00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5aabd-55f9-4399-b687-0413438e0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30692-C656-46A4-B526-E475C19FC14B}">
  <ds:schemaRefs>
    <ds:schemaRef ds:uri="http://schemas.microsoft.com/office/2006/metadata/properties"/>
    <ds:schemaRef ds:uri="http://www.w3.org/2000/xmlns/"/>
    <ds:schemaRef ds:uri="72d5aabd-55f9-4399-b687-0413438e00ee"/>
    <ds:schemaRef ds:uri="http://www.w3.org/2001/XMLSchema-instan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72C1A8-B17C-4B6D-8356-9B3E17783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04320-55A6-405C-9C3A-14822DDB9E6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2d5aabd-55f9-4399-b687-0413438e00e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 de Resultados</vt:lpstr>
      <vt:lpstr>Alimentación </vt:lpstr>
      <vt:lpstr>Mano de OBra</vt:lpstr>
      <vt:lpstr>Transporte</vt:lpstr>
      <vt:lpstr>Flujograma</vt:lpstr>
      <vt:lpstr>Punto de equilibrio</vt:lpstr>
      <vt:lpstr>Flujo de efectivo ACTUAL</vt:lpstr>
      <vt:lpstr>Inversion</vt:lpstr>
      <vt:lpstr>Flujo de Inversion simple</vt:lpstr>
      <vt:lpstr>Flujo Marginal</vt:lpstr>
      <vt:lpstr>Escenarios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Naydeline Salazar Gómez</dc:creator>
  <cp:keywords/>
  <dc:description/>
  <cp:lastModifiedBy>Darian Álvarez Rojas</cp:lastModifiedBy>
  <cp:revision/>
  <dcterms:created xsi:type="dcterms:W3CDTF">2025-03-05T20:27:30Z</dcterms:created>
  <dcterms:modified xsi:type="dcterms:W3CDTF">2025-04-18T19:30:45Z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0x010100C10A33FF05DC5445B9B40A1D4DDB1C8B</vt:lpwstr>
  </property>
  <property fmtid="{D5CDD505-2E9C-101B-9397-08002B2CF9AE}" pid="3" name="MSIP_Label_c8451ef3-9ff0-42d3-8763-b1d71f1938d3_Enabled">
    <vt:lpwstr>true</vt:lpwstr>
  </property>
  <property fmtid="{D5CDD505-2E9C-101B-9397-08002B2CF9AE}" pid="4" name="MSIP_Label_c8451ef3-9ff0-42d3-8763-b1d71f1938d3_SetDate">
    <vt:lpwstr>2025-04-13T21:25:49Z</vt:lpwstr>
  </property>
  <property fmtid="{D5CDD505-2E9C-101B-9397-08002B2CF9AE}" pid="5" name="MSIP_Label_c8451ef3-9ff0-42d3-8763-b1d71f1938d3_Method">
    <vt:lpwstr>Privileged</vt:lpwstr>
  </property>
  <property fmtid="{D5CDD505-2E9C-101B-9397-08002B2CF9AE}" pid="6" name="MSIP_Label_c8451ef3-9ff0-42d3-8763-b1d71f1938d3_Name">
    <vt:lpwstr>01Public.</vt:lpwstr>
  </property>
  <property fmtid="{D5CDD505-2E9C-101B-9397-08002B2CF9AE}" pid="7" name="MSIP_Label_c8451ef3-9ff0-42d3-8763-b1d71f1938d3_SiteId">
    <vt:lpwstr>3205c38a-2aa0-4681-8dc0-61687b1d331b</vt:lpwstr>
  </property>
  <property fmtid="{D5CDD505-2E9C-101B-9397-08002B2CF9AE}" pid="8" name="MSIP_Label_c8451ef3-9ff0-42d3-8763-b1d71f1938d3_ActionId">
    <vt:lpwstr>4a50fa6f-2733-45b4-9e71-7fd1de9344ce</vt:lpwstr>
  </property>
  <property fmtid="{D5CDD505-2E9C-101B-9397-08002B2CF9AE}" pid="9" name="MSIP_Label_c8451ef3-9ff0-42d3-8763-b1d71f1938d3_ContentBits">
    <vt:lpwstr>0</vt:lpwstr>
  </property>
  <property fmtid="{D5CDD505-2E9C-101B-9397-08002B2CF9AE}" pid="10" name="MSIP_Label_c8451ef3-9ff0-42d3-8763-b1d71f1938d3_Tag">
    <vt:lpwstr>10, 0, 1, 1</vt:lpwstr>
  </property>
</Properties>
</file>